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60" windowWidth="15135" windowHeight="7110" activeTab="1"/>
  </bookViews>
  <sheets>
    <sheet name="Data Feeding" sheetId="1" r:id="rId1"/>
    <sheet name="Report" sheetId="15" r:id="rId2"/>
  </sheets>
  <externalReferences>
    <externalReference r:id="rId3"/>
  </externalReferences>
  <definedNames>
    <definedName name="_xlnm._FilterDatabase" localSheetId="0" hidden="1">'Data Feeding'!#REF!</definedName>
    <definedName name="OLE_LINK1" localSheetId="0">#REF!</definedName>
    <definedName name="_xlnm.Print_Area" localSheetId="0">'Data Feeding'!$A$1:$L$112</definedName>
    <definedName name="_xlnm.Print_Area" localSheetId="1">Report!$A$1:$L$429</definedName>
  </definedNames>
  <calcPr calcId="124519"/>
  <fileRecoveryPr autoRecover="0"/>
</workbook>
</file>

<file path=xl/calcChain.xml><?xml version="1.0" encoding="utf-8"?>
<calcChain xmlns="http://schemas.openxmlformats.org/spreadsheetml/2006/main">
  <c r="P99" i="15"/>
  <c r="F99" s="1"/>
  <c r="B235" l="1"/>
  <c r="B234"/>
  <c r="B233"/>
  <c r="B232"/>
  <c r="B231"/>
  <c r="B230"/>
  <c r="B229"/>
  <c r="I2870"/>
  <c r="I3079" s="1"/>
  <c r="E3079"/>
  <c r="E3185" s="1"/>
  <c r="E3265" s="1"/>
  <c r="E3345" s="1"/>
  <c r="E3452" s="1"/>
  <c r="E3533" s="1"/>
  <c r="E3639" s="1"/>
  <c r="E3746" s="1"/>
  <c r="L2870" l="1"/>
  <c r="L3533" s="1"/>
  <c r="L3746" s="1"/>
  <c r="I3185"/>
  <c r="I3265" s="1"/>
  <c r="I3345" s="1"/>
  <c r="I3452" s="1"/>
  <c r="I3533" s="1"/>
  <c r="I3639" s="1"/>
  <c r="I3746" s="1"/>
  <c r="H3079"/>
  <c r="H3185" s="1"/>
  <c r="H3265" s="1"/>
  <c r="H3345" s="1"/>
  <c r="H3452" s="1"/>
  <c r="H3533" s="1"/>
  <c r="H3639" s="1"/>
  <c r="H3746" s="1"/>
  <c r="D3639"/>
  <c r="C3345"/>
  <c r="B3185"/>
  <c r="L235"/>
  <c r="K235"/>
  <c r="J235"/>
  <c r="A235"/>
  <c r="L234"/>
  <c r="K234"/>
  <c r="J234"/>
  <c r="A234"/>
  <c r="L233"/>
  <c r="K233"/>
  <c r="J233"/>
  <c r="A233"/>
  <c r="L232"/>
  <c r="K232"/>
  <c r="J232"/>
  <c r="A232"/>
  <c r="L231"/>
  <c r="K231"/>
  <c r="J231"/>
  <c r="A231"/>
  <c r="L230"/>
  <c r="K230"/>
  <c r="J230"/>
  <c r="A230"/>
  <c r="L229"/>
  <c r="K229"/>
  <c r="J229"/>
  <c r="A229"/>
  <c r="F3533"/>
  <c r="F3452"/>
  <c r="J3746" l="1"/>
  <c r="J3639"/>
  <c r="J3185"/>
  <c r="O3185" s="1"/>
  <c r="P3185" s="1"/>
  <c r="J3533"/>
  <c r="J3345"/>
  <c r="J3265"/>
  <c r="O3265" s="1"/>
  <c r="P3265" s="1"/>
  <c r="J3079"/>
  <c r="O3079" s="1"/>
  <c r="P3079" s="1"/>
  <c r="J3452"/>
  <c r="L236"/>
  <c r="J2870" l="1"/>
  <c r="B110" l="1"/>
  <c r="F100" l="1"/>
  <c r="K100"/>
  <c r="F102"/>
  <c r="K102"/>
  <c r="F103"/>
  <c r="K103"/>
  <c r="L131"/>
  <c r="G162"/>
  <c r="G160"/>
  <c r="G158"/>
  <c r="G156"/>
  <c r="F140"/>
  <c r="F159"/>
  <c r="F157"/>
  <c r="L58" i="1"/>
  <c r="K58"/>
  <c r="J58"/>
  <c r="N110" l="1"/>
  <c r="D190" i="15" l="1"/>
  <c r="H215" l="1"/>
  <c r="F163"/>
  <c r="F161"/>
  <c r="C141"/>
  <c r="B111"/>
  <c r="L34" i="1"/>
  <c r="K39" l="1"/>
  <c r="K298" i="15" s="1"/>
  <c r="G39" i="1"/>
  <c r="G298" i="15" s="1"/>
  <c r="L39" i="1"/>
  <c r="L298" i="15" s="1"/>
  <c r="H39" i="1"/>
  <c r="H298" i="15" s="1"/>
  <c r="I39" i="1"/>
  <c r="I298" i="15" s="1"/>
  <c r="J39" i="1"/>
  <c r="J298" i="15" s="1"/>
  <c r="F39" i="1"/>
  <c r="F298" i="15" s="1"/>
  <c r="F71" i="1"/>
  <c r="G66" i="15"/>
  <c r="G65"/>
  <c r="G21" i="1"/>
  <c r="B110" s="1"/>
  <c r="L297" i="15"/>
  <c r="L124" s="1"/>
  <c r="K297"/>
  <c r="K124" s="1"/>
  <c r="L296"/>
  <c r="L123" s="1"/>
  <c r="K296"/>
  <c r="K123" s="1"/>
  <c r="J297"/>
  <c r="J124" s="1"/>
  <c r="J296"/>
  <c r="J123" s="1"/>
  <c r="L138"/>
  <c r="K138"/>
  <c r="J138"/>
  <c r="I138"/>
  <c r="L137"/>
  <c r="K137"/>
  <c r="H296" s="1"/>
  <c r="H123" s="1"/>
  <c r="J137"/>
  <c r="J186" s="1"/>
  <c r="I137"/>
  <c r="F296" s="1"/>
  <c r="F123" s="1"/>
  <c r="E176" i="1"/>
  <c r="E174"/>
  <c r="E173"/>
  <c r="E171"/>
  <c r="E167"/>
  <c r="E165"/>
  <c r="I69"/>
  <c r="G146" i="15"/>
  <c r="G144"/>
  <c r="G142"/>
  <c r="G140"/>
  <c r="N30" i="1"/>
  <c r="G64" i="15"/>
  <c r="K101" s="1"/>
  <c r="G63"/>
  <c r="F101" s="1"/>
  <c r="G62"/>
  <c r="G59"/>
  <c r="G58"/>
  <c r="D50"/>
  <c r="D49"/>
  <c r="D48"/>
  <c r="F136" i="1"/>
  <c r="F134"/>
  <c r="K109" i="15"/>
  <c r="E154" i="1"/>
  <c r="E151" s="1"/>
  <c r="E148"/>
  <c r="J91"/>
  <c r="K91" s="1"/>
  <c r="K92" s="1"/>
  <c r="O22"/>
  <c r="L353" i="15"/>
  <c r="K353"/>
  <c r="J353"/>
  <c r="I353"/>
  <c r="H353"/>
  <c r="G353"/>
  <c r="L352"/>
  <c r="K352"/>
  <c r="J352"/>
  <c r="I352"/>
  <c r="H352"/>
  <c r="G352"/>
  <c r="F353"/>
  <c r="F352"/>
  <c r="E150" i="1"/>
  <c r="N148"/>
  <c r="K108" i="15"/>
  <c r="H388"/>
  <c r="A146"/>
  <c r="A144"/>
  <c r="A142"/>
  <c r="A140"/>
  <c r="J100" i="1"/>
  <c r="I100"/>
  <c r="G68" i="15"/>
  <c r="B5" s="1"/>
  <c r="E80"/>
  <c r="E81"/>
  <c r="J107" i="1"/>
  <c r="I119" i="15" s="1"/>
  <c r="J106" i="1"/>
  <c r="I118" i="15" s="1"/>
  <c r="A158"/>
  <c r="B158"/>
  <c r="A162"/>
  <c r="B162"/>
  <c r="F395"/>
  <c r="B387"/>
  <c r="H385"/>
  <c r="H383"/>
  <c r="H382"/>
  <c r="H381"/>
  <c r="H380"/>
  <c r="E367"/>
  <c r="E366"/>
  <c r="E365"/>
  <c r="E364"/>
  <c r="E360"/>
  <c r="A293"/>
  <c r="J283"/>
  <c r="J284" s="1"/>
  <c r="J285" s="1"/>
  <c r="J286" s="1"/>
  <c r="J287" s="1"/>
  <c r="D244"/>
  <c r="D245" s="1"/>
  <c r="D246" s="1"/>
  <c r="D247" s="1"/>
  <c r="D248" s="1"/>
  <c r="D249" s="1"/>
  <c r="D250" s="1"/>
  <c r="D251" s="1"/>
  <c r="D252" s="1"/>
  <c r="D253" s="1"/>
  <c r="D254" s="1"/>
  <c r="D256" s="1"/>
  <c r="D257" s="1"/>
  <c r="D258" s="1"/>
  <c r="D259" s="1"/>
  <c r="D260" s="1"/>
  <c r="D261" s="1"/>
  <c r="D262" s="1"/>
  <c r="D263" s="1"/>
  <c r="D264" s="1"/>
  <c r="D265" s="1"/>
  <c r="D266" s="1"/>
  <c r="D267" s="1"/>
  <c r="D269" s="1"/>
  <c r="D270" s="1"/>
  <c r="D271" s="1"/>
  <c r="D272" s="1"/>
  <c r="D273" s="1"/>
  <c r="D274" s="1"/>
  <c r="D275" s="1"/>
  <c r="D276" s="1"/>
  <c r="D277" s="1"/>
  <c r="D278" s="1"/>
  <c r="D279" s="1"/>
  <c r="D280" s="1"/>
  <c r="D282" s="1"/>
  <c r="D283" s="1"/>
  <c r="D284" s="1"/>
  <c r="D285" s="1"/>
  <c r="D286" s="1"/>
  <c r="D287" s="1"/>
  <c r="H243" s="1"/>
  <c r="H244" s="1"/>
  <c r="H245" s="1"/>
  <c r="H246" s="1"/>
  <c r="H247" s="1"/>
  <c r="H248" s="1"/>
  <c r="H252" s="1"/>
  <c r="H253" s="1"/>
  <c r="H254" s="1"/>
  <c r="H255" s="1"/>
  <c r="H256" s="1"/>
  <c r="H257" s="1"/>
  <c r="H258" s="1"/>
  <c r="H259" s="1"/>
  <c r="H260" s="1"/>
  <c r="H261" s="1"/>
  <c r="H265" s="1"/>
  <c r="H266" s="1"/>
  <c r="H267" s="1"/>
  <c r="H268" s="1"/>
  <c r="H269" s="1"/>
  <c r="H270" s="1"/>
  <c r="H271" s="1"/>
  <c r="H272" s="1"/>
  <c r="H273" s="1"/>
  <c r="H274" s="1"/>
  <c r="H278" s="1"/>
  <c r="H279" s="1"/>
  <c r="H280" s="1"/>
  <c r="H281" s="1"/>
  <c r="H282" s="1"/>
  <c r="H283" s="1"/>
  <c r="H284" s="1"/>
  <c r="H285" s="1"/>
  <c r="H286" s="1"/>
  <c r="H287" s="1"/>
  <c r="D225"/>
  <c r="D221"/>
  <c r="D218"/>
  <c r="B207"/>
  <c r="B204"/>
  <c r="D200"/>
  <c r="D199"/>
  <c r="D197"/>
  <c r="D194"/>
  <c r="G181"/>
  <c r="F180"/>
  <c r="E180"/>
  <c r="B179"/>
  <c r="F177"/>
  <c r="E177"/>
  <c r="B177"/>
  <c r="B176"/>
  <c r="F174"/>
  <c r="E174"/>
  <c r="B174"/>
  <c r="B173"/>
  <c r="F169"/>
  <c r="E169"/>
  <c r="B169"/>
  <c r="B168"/>
  <c r="H190"/>
  <c r="B160"/>
  <c r="A160"/>
  <c r="B156"/>
  <c r="A156"/>
  <c r="I139"/>
  <c r="F299" s="1"/>
  <c r="F126" s="1"/>
  <c r="C95"/>
  <c r="J59" s="1"/>
  <c r="G86"/>
  <c r="C33"/>
  <c r="C34" s="1"/>
  <c r="C35" s="1"/>
  <c r="A265" i="1"/>
  <c r="E259"/>
  <c r="E166"/>
  <c r="B144" i="15"/>
  <c r="J49" i="1"/>
  <c r="C147" i="15" s="1"/>
  <c r="J48" i="1"/>
  <c r="C145" i="15" s="1"/>
  <c r="J47" i="1"/>
  <c r="C143" i="15" s="1"/>
  <c r="E222" i="1"/>
  <c r="G87" i="15" s="1"/>
  <c r="C222" i="1"/>
  <c r="A222"/>
  <c r="D237"/>
  <c r="B236" s="1"/>
  <c r="H78"/>
  <c r="K104" i="15" s="1"/>
  <c r="P514" i="1"/>
  <c r="A255"/>
  <c r="A254"/>
  <c r="A253"/>
  <c r="A252"/>
  <c r="N29"/>
  <c r="F104" i="15" s="1"/>
  <c r="D156" i="1"/>
  <c r="D150" s="1"/>
  <c r="D155"/>
  <c r="D152" s="1"/>
  <c r="D154"/>
  <c r="D151" s="1"/>
  <c r="G269"/>
  <c r="H269" s="1"/>
  <c r="G270" s="1"/>
  <c r="B307"/>
  <c r="G54" l="1"/>
  <c r="B136" i="15"/>
  <c r="D52"/>
  <c r="J241"/>
  <c r="D78"/>
  <c r="G296"/>
  <c r="G123" s="1"/>
  <c r="I186"/>
  <c r="L186"/>
  <c r="K186"/>
  <c r="G48" i="1"/>
  <c r="F144" i="15" s="1"/>
  <c r="H144" s="1"/>
  <c r="G47" i="1"/>
  <c r="F142" i="15" s="1"/>
  <c r="H142" s="1"/>
  <c r="G49" i="1"/>
  <c r="F146" i="15" s="1"/>
  <c r="H146" s="1"/>
  <c r="H140"/>
  <c r="G55" i="1"/>
  <c r="G53"/>
  <c r="G52"/>
  <c r="G106"/>
  <c r="I106" s="1"/>
  <c r="G393" i="15"/>
  <c r="H390"/>
  <c r="I153"/>
  <c r="G148"/>
  <c r="L43"/>
  <c r="G169"/>
  <c r="E175"/>
  <c r="E170"/>
  <c r="E171" s="1"/>
  <c r="J120"/>
  <c r="G180"/>
  <c r="H181" s="1"/>
  <c r="K393"/>
  <c r="K331"/>
  <c r="G174"/>
  <c r="H393"/>
  <c r="H331"/>
  <c r="L85"/>
  <c r="G177"/>
  <c r="H178" s="1"/>
  <c r="E178"/>
  <c r="L331"/>
  <c r="L393"/>
  <c r="I296"/>
  <c r="I123" s="1"/>
  <c r="L108"/>
  <c r="L109"/>
  <c r="G331"/>
  <c r="F331"/>
  <c r="F393"/>
  <c r="J331"/>
  <c r="J393"/>
  <c r="B142"/>
  <c r="B140"/>
  <c r="B146"/>
  <c r="A244" i="1"/>
  <c r="D148"/>
  <c r="D149"/>
  <c r="D153"/>
  <c r="H270"/>
  <c r="G271" s="1"/>
  <c r="C227"/>
  <c r="H162" i="15" l="1"/>
  <c r="I162" s="1"/>
  <c r="C163"/>
  <c r="F162"/>
  <c r="C159"/>
  <c r="F158"/>
  <c r="C161"/>
  <c r="F160"/>
  <c r="C157"/>
  <c r="F156"/>
  <c r="I190"/>
  <c r="F399" s="1"/>
  <c r="H148"/>
  <c r="I142"/>
  <c r="I144"/>
  <c r="I146"/>
  <c r="I140"/>
  <c r="G72"/>
  <c r="E182"/>
  <c r="J139"/>
  <c r="J153" s="1"/>
  <c r="G395"/>
  <c r="H156"/>
  <c r="H175"/>
  <c r="G182" s="1"/>
  <c r="H182" s="1"/>
  <c r="I182" s="1"/>
  <c r="H170"/>
  <c r="I170" s="1"/>
  <c r="G171"/>
  <c r="H204"/>
  <c r="I204" s="1"/>
  <c r="D35"/>
  <c r="L134"/>
  <c r="I331"/>
  <c r="I393"/>
  <c r="H271" i="1"/>
  <c r="G272" s="1"/>
  <c r="F305" i="15" l="1"/>
  <c r="J59" i="1" s="1"/>
  <c r="J182" i="15"/>
  <c r="E183"/>
  <c r="G88"/>
  <c r="G69"/>
  <c r="J190"/>
  <c r="J162"/>
  <c r="J146"/>
  <c r="J144"/>
  <c r="J140"/>
  <c r="J142"/>
  <c r="G299"/>
  <c r="G126" s="1"/>
  <c r="K156"/>
  <c r="I156"/>
  <c r="J156"/>
  <c r="K139"/>
  <c r="K153" s="1"/>
  <c r="H395"/>
  <c r="H158"/>
  <c r="H171"/>
  <c r="I171"/>
  <c r="J171" s="1"/>
  <c r="G183"/>
  <c r="L185"/>
  <c r="C36"/>
  <c r="C37" s="1"/>
  <c r="G224" i="1"/>
  <c r="G222" s="1"/>
  <c r="H272"/>
  <c r="G273" s="1"/>
  <c r="N63"/>
  <c r="B234"/>
  <c r="B315"/>
  <c r="B318"/>
  <c r="E264"/>
  <c r="D236" s="1"/>
  <c r="N31"/>
  <c r="B306"/>
  <c r="B160"/>
  <c r="F156"/>
  <c r="F153" s="1"/>
  <c r="F150" s="1"/>
  <c r="E170"/>
  <c r="F222"/>
  <c r="A227"/>
  <c r="E263"/>
  <c r="N28"/>
  <c r="AI437"/>
  <c r="AI438"/>
  <c r="E266"/>
  <c r="E267"/>
  <c r="B240" s="1"/>
  <c r="B224"/>
  <c r="B226"/>
  <c r="H194" i="15" l="1"/>
  <c r="H193"/>
  <c r="I193" s="1"/>
  <c r="K182"/>
  <c r="B222" i="1"/>
  <c r="H160" i="15"/>
  <c r="L160" s="1"/>
  <c r="K162"/>
  <c r="G92"/>
  <c r="B17"/>
  <c r="A44"/>
  <c r="G82" s="1"/>
  <c r="D43"/>
  <c r="G80"/>
  <c r="C38"/>
  <c r="L330" s="1"/>
  <c r="L292"/>
  <c r="K190"/>
  <c r="K140"/>
  <c r="K146"/>
  <c r="H299"/>
  <c r="H126" s="1"/>
  <c r="L156"/>
  <c r="C284"/>
  <c r="L394"/>
  <c r="C193"/>
  <c r="I158"/>
  <c r="L158"/>
  <c r="J158"/>
  <c r="K158"/>
  <c r="G90"/>
  <c r="B8"/>
  <c r="K394"/>
  <c r="L265"/>
  <c r="I395"/>
  <c r="J395" s="1"/>
  <c r="K395" s="1"/>
  <c r="L395" s="1"/>
  <c r="L139"/>
  <c r="L153" s="1"/>
  <c r="H199"/>
  <c r="L252"/>
  <c r="J394"/>
  <c r="F408"/>
  <c r="L239"/>
  <c r="E172" i="1"/>
  <c r="G156"/>
  <c r="H156" s="1"/>
  <c r="I156" s="1"/>
  <c r="A262"/>
  <c r="A259" s="1"/>
  <c r="A263"/>
  <c r="A261"/>
  <c r="L179"/>
  <c r="E179" s="1"/>
  <c r="E287"/>
  <c r="A243"/>
  <c r="A241" s="1"/>
  <c r="E297"/>
  <c r="E296" s="1"/>
  <c r="G153"/>
  <c r="G150" s="1"/>
  <c r="H153"/>
  <c r="H150" s="1"/>
  <c r="I153"/>
  <c r="I150" s="1"/>
  <c r="J153"/>
  <c r="J150" s="1"/>
  <c r="K153"/>
  <c r="K150" s="1"/>
  <c r="L153"/>
  <c r="L150" s="1"/>
  <c r="H273"/>
  <c r="G274" s="1"/>
  <c r="E265"/>
  <c r="E168" l="1"/>
  <c r="E169"/>
  <c r="B304" s="1"/>
  <c r="B303" s="1"/>
  <c r="C39" i="15"/>
  <c r="L182"/>
  <c r="I160"/>
  <c r="I164" s="1"/>
  <c r="F304" s="1"/>
  <c r="F398" s="1"/>
  <c r="K160"/>
  <c r="K164" s="1"/>
  <c r="J160"/>
  <c r="J164" s="1"/>
  <c r="G304" s="1"/>
  <c r="G398" s="1"/>
  <c r="L190"/>
  <c r="L162"/>
  <c r="L164" s="1"/>
  <c r="L146"/>
  <c r="L142"/>
  <c r="L140"/>
  <c r="L144"/>
  <c r="I299"/>
  <c r="B186"/>
  <c r="A292"/>
  <c r="B134"/>
  <c r="G297"/>
  <c r="J152"/>
  <c r="J187" s="1"/>
  <c r="I152"/>
  <c r="I187" s="1"/>
  <c r="F297"/>
  <c r="L152"/>
  <c r="L187" s="1"/>
  <c r="I297"/>
  <c r="H297"/>
  <c r="K152"/>
  <c r="K187" s="1"/>
  <c r="G408"/>
  <c r="K171"/>
  <c r="H305"/>
  <c r="G305"/>
  <c r="J156" i="1"/>
  <c r="K156" s="1"/>
  <c r="L156" s="1"/>
  <c r="F133"/>
  <c r="E161" s="1"/>
  <c r="F135"/>
  <c r="E163" s="1"/>
  <c r="B238"/>
  <c r="H274"/>
  <c r="G275" s="1"/>
  <c r="H399" i="15" l="1"/>
  <c r="L59" i="1"/>
  <c r="G399" i="15"/>
  <c r="K59" i="1"/>
  <c r="G394" i="15"/>
  <c r="G124"/>
  <c r="J299"/>
  <c r="I126"/>
  <c r="I394"/>
  <c r="I124"/>
  <c r="H394"/>
  <c r="H124"/>
  <c r="F394"/>
  <c r="F124"/>
  <c r="I385"/>
  <c r="H304"/>
  <c r="H398" s="1"/>
  <c r="K380"/>
  <c r="H344" s="1"/>
  <c r="J380"/>
  <c r="G344" s="1"/>
  <c r="I380"/>
  <c r="G94"/>
  <c r="D45"/>
  <c r="G60"/>
  <c r="L148"/>
  <c r="L149" s="1"/>
  <c r="L382" s="1"/>
  <c r="B308" i="1"/>
  <c r="I401" i="15"/>
  <c r="J401" s="1"/>
  <c r="K401" s="1"/>
  <c r="L401" s="1"/>
  <c r="I305"/>
  <c r="I399" s="1"/>
  <c r="H408"/>
  <c r="L171"/>
  <c r="G97"/>
  <c r="B23"/>
  <c r="I188"/>
  <c r="J188"/>
  <c r="J194" s="1"/>
  <c r="J193"/>
  <c r="K183"/>
  <c r="H307" s="1"/>
  <c r="H401"/>
  <c r="K188"/>
  <c r="K194" s="1"/>
  <c r="K193"/>
  <c r="G401"/>
  <c r="J183"/>
  <c r="G307" s="1"/>
  <c r="F401"/>
  <c r="I183"/>
  <c r="F307" s="1"/>
  <c r="F151" i="1"/>
  <c r="H275"/>
  <c r="I345" i="15" l="1"/>
  <c r="J385"/>
  <c r="K385" s="1"/>
  <c r="L385" s="1"/>
  <c r="G99" i="1"/>
  <c r="F344" i="15"/>
  <c r="F364" s="1"/>
  <c r="G95" i="1"/>
  <c r="I199" i="15"/>
  <c r="J199" s="1"/>
  <c r="K199" s="1"/>
  <c r="I194"/>
  <c r="K299"/>
  <c r="J126"/>
  <c r="G151" i="1"/>
  <c r="F148"/>
  <c r="H364" i="15"/>
  <c r="L221"/>
  <c r="I316" s="1"/>
  <c r="I405" s="1"/>
  <c r="F337"/>
  <c r="F360" s="1"/>
  <c r="I408"/>
  <c r="J408" s="1"/>
  <c r="K408" s="1"/>
  <c r="L408" s="1"/>
  <c r="H306"/>
  <c r="G306"/>
  <c r="L188"/>
  <c r="L194" s="1"/>
  <c r="J305"/>
  <c r="K305" s="1"/>
  <c r="L193"/>
  <c r="L183"/>
  <c r="I307" s="1"/>
  <c r="J307" s="1"/>
  <c r="L377"/>
  <c r="L418"/>
  <c r="H407"/>
  <c r="F154" i="1"/>
  <c r="G364" i="15" l="1"/>
  <c r="H337"/>
  <c r="G337"/>
  <c r="G360" s="1"/>
  <c r="H400"/>
  <c r="L61" i="1"/>
  <c r="G400" i="15"/>
  <c r="K61" i="1"/>
  <c r="L299" i="15"/>
  <c r="L126" s="1"/>
  <c r="K126"/>
  <c r="I205"/>
  <c r="I206" s="1"/>
  <c r="J316"/>
  <c r="F400"/>
  <c r="F306"/>
  <c r="J61" i="1" s="1"/>
  <c r="H151"/>
  <c r="G148"/>
  <c r="I304" i="15"/>
  <c r="I398" s="1"/>
  <c r="L380"/>
  <c r="I344" s="1"/>
  <c r="L199"/>
  <c r="I306"/>
  <c r="L218"/>
  <c r="I308" s="1"/>
  <c r="I402" s="1"/>
  <c r="L197"/>
  <c r="I300"/>
  <c r="J399"/>
  <c r="I407"/>
  <c r="J407"/>
  <c r="K307"/>
  <c r="H125"/>
  <c r="K399"/>
  <c r="L305"/>
  <c r="L399" s="1"/>
  <c r="I337"/>
  <c r="G125"/>
  <c r="G154" i="1"/>
  <c r="H360" i="15" l="1"/>
  <c r="I302"/>
  <c r="J304"/>
  <c r="J398" s="1"/>
  <c r="K316"/>
  <c r="J405"/>
  <c r="I151" i="1"/>
  <c r="H148"/>
  <c r="J205" i="15"/>
  <c r="J344"/>
  <c r="I364"/>
  <c r="I400"/>
  <c r="J306"/>
  <c r="J400" s="1"/>
  <c r="I125"/>
  <c r="J308"/>
  <c r="K308" s="1"/>
  <c r="J300"/>
  <c r="I360"/>
  <c r="J337"/>
  <c r="L307"/>
  <c r="L407" s="1"/>
  <c r="K407"/>
  <c r="J204"/>
  <c r="H154" i="1"/>
  <c r="I40" l="1"/>
  <c r="I127" i="15"/>
  <c r="J127" s="1"/>
  <c r="K127" s="1"/>
  <c r="L127" s="1"/>
  <c r="I396"/>
  <c r="J302"/>
  <c r="K304"/>
  <c r="K398" s="1"/>
  <c r="L398" s="1"/>
  <c r="L316"/>
  <c r="L405"/>
  <c r="K405"/>
  <c r="K205"/>
  <c r="J151" i="1"/>
  <c r="I148"/>
  <c r="J364" i="15"/>
  <c r="K344"/>
  <c r="K306"/>
  <c r="L306" s="1"/>
  <c r="L400" s="1"/>
  <c r="J402"/>
  <c r="J125"/>
  <c r="K300"/>
  <c r="J360"/>
  <c r="K337"/>
  <c r="K402"/>
  <c r="L308"/>
  <c r="L402" s="1"/>
  <c r="J206"/>
  <c r="I154" i="1"/>
  <c r="J396" i="15" l="1"/>
  <c r="J40" i="1"/>
  <c r="K302" i="15"/>
  <c r="L304"/>
  <c r="K151" i="1"/>
  <c r="J148"/>
  <c r="L205" i="15"/>
  <c r="K364"/>
  <c r="L344"/>
  <c r="L364" s="1"/>
  <c r="K400"/>
  <c r="K125"/>
  <c r="L300"/>
  <c r="K204"/>
  <c r="L337"/>
  <c r="L360" s="1"/>
  <c r="K360"/>
  <c r="J154" i="1"/>
  <c r="K154" s="1"/>
  <c r="K396" i="15" l="1"/>
  <c r="K40" i="1"/>
  <c r="L302" i="15"/>
  <c r="L151" i="1"/>
  <c r="L148" s="1"/>
  <c r="K148"/>
  <c r="L125" i="15"/>
  <c r="K206"/>
  <c r="L154" i="1"/>
  <c r="L40" l="1"/>
  <c r="L396" i="15"/>
  <c r="L204"/>
  <c r="L206" l="1"/>
  <c r="I215" l="1"/>
  <c r="J215" l="1"/>
  <c r="K215" s="1"/>
  <c r="L215" s="1"/>
  <c r="F315"/>
  <c r="J66" i="1" s="1"/>
  <c r="F411" i="15"/>
  <c r="E285" i="1"/>
  <c r="G315" i="15" l="1"/>
  <c r="G411" l="1"/>
  <c r="K66" i="1"/>
  <c r="H315" i="15"/>
  <c r="I315"/>
  <c r="H411" l="1"/>
  <c r="L66" i="1"/>
  <c r="I411" i="15"/>
  <c r="J315"/>
  <c r="K315" l="1"/>
  <c r="J411"/>
  <c r="L315" l="1"/>
  <c r="L411" s="1"/>
  <c r="K411"/>
  <c r="E286" i="1" l="1"/>
  <c r="E284"/>
  <c r="E283" s="1"/>
  <c r="K106" l="1"/>
  <c r="L183" s="1"/>
  <c r="K118" i="15" l="1"/>
  <c r="L72"/>
  <c r="L118" l="1"/>
  <c r="F241" l="1"/>
  <c r="E358" l="1"/>
  <c r="E335" s="1"/>
  <c r="E243"/>
  <c r="E183" i="1"/>
  <c r="E244" i="15" l="1"/>
  <c r="G243"/>
  <c r="F247"/>
  <c r="F246"/>
  <c r="F249"/>
  <c r="F250" s="1"/>
  <c r="F251" s="1"/>
  <c r="F252" s="1"/>
  <c r="F253" s="1"/>
  <c r="F254" s="1"/>
  <c r="F256" s="1"/>
  <c r="F248"/>
  <c r="F255" l="1"/>
  <c r="F323" s="1"/>
  <c r="F325" s="1"/>
  <c r="F257"/>
  <c r="F262"/>
  <c r="E245"/>
  <c r="G244"/>
  <c r="F368" l="1"/>
  <c r="F335" s="1"/>
  <c r="F129" s="1"/>
  <c r="E246"/>
  <c r="G245"/>
  <c r="F263"/>
  <c r="F258"/>
  <c r="B313" i="1"/>
  <c r="B312" s="1"/>
  <c r="B314"/>
  <c r="F425" i="15" l="1"/>
  <c r="F259"/>
  <c r="F264"/>
  <c r="G246"/>
  <c r="E247"/>
  <c r="G247" l="1"/>
  <c r="E248"/>
  <c r="F260"/>
  <c r="F265"/>
  <c r="E249" l="1"/>
  <c r="G248"/>
  <c r="F266"/>
  <c r="F261"/>
  <c r="F267" s="1"/>
  <c r="F269" s="1"/>
  <c r="B310" i="1"/>
  <c r="B309" s="1"/>
  <c r="F270" i="15" l="1"/>
  <c r="F271" s="1"/>
  <c r="F272" s="1"/>
  <c r="F273" s="1"/>
  <c r="F274" s="1"/>
  <c r="F275" s="1"/>
  <c r="F276" s="1"/>
  <c r="F277" s="1"/>
  <c r="F278" s="1"/>
  <c r="F279" s="1"/>
  <c r="F280" s="1"/>
  <c r="F282" s="1"/>
  <c r="F283" s="1"/>
  <c r="G249"/>
  <c r="E250"/>
  <c r="F268"/>
  <c r="G368" s="1"/>
  <c r="G250" l="1"/>
  <c r="E251"/>
  <c r="G323"/>
  <c r="G325" s="1"/>
  <c r="G425"/>
  <c r="G335"/>
  <c r="G129" s="1"/>
  <c r="F281"/>
  <c r="H368" s="1"/>
  <c r="H335" l="1"/>
  <c r="H129" s="1"/>
  <c r="H323"/>
  <c r="H325" s="1"/>
  <c r="H425"/>
  <c r="E252"/>
  <c r="G251"/>
  <c r="E253" l="1"/>
  <c r="G252"/>
  <c r="E254" l="1"/>
  <c r="G253"/>
  <c r="E256" l="1"/>
  <c r="G254"/>
  <c r="G255" s="1"/>
  <c r="F313" s="1"/>
  <c r="J70" i="1" s="1"/>
  <c r="F369" i="15" l="1"/>
  <c r="F421"/>
  <c r="F424" s="1"/>
  <c r="F426" s="1"/>
  <c r="F410"/>
  <c r="E257"/>
  <c r="G256"/>
  <c r="E258" l="1"/>
  <c r="G257"/>
  <c r="E259" l="1"/>
  <c r="G258"/>
  <c r="E260" l="1"/>
  <c r="G259"/>
  <c r="G260" l="1"/>
  <c r="E261"/>
  <c r="G261" l="1"/>
  <c r="E262"/>
  <c r="G262" l="1"/>
  <c r="E263"/>
  <c r="G263" l="1"/>
  <c r="E264"/>
  <c r="E265" l="1"/>
  <c r="G264"/>
  <c r="G265" l="1"/>
  <c r="E266"/>
  <c r="E267" l="1"/>
  <c r="G266"/>
  <c r="E269" l="1"/>
  <c r="G267"/>
  <c r="G268" s="1"/>
  <c r="G313" s="1"/>
  <c r="K70" i="1" s="1"/>
  <c r="G421" i="15" l="1"/>
  <c r="G424" s="1"/>
  <c r="G426" s="1"/>
  <c r="G369"/>
  <c r="G410"/>
  <c r="E270"/>
  <c r="G269"/>
  <c r="E271" l="1"/>
  <c r="G270"/>
  <c r="E272" l="1"/>
  <c r="G271"/>
  <c r="G272" l="1"/>
  <c r="E273"/>
  <c r="G273" l="1"/>
  <c r="E274"/>
  <c r="G274" l="1"/>
  <c r="E275"/>
  <c r="G275" l="1"/>
  <c r="E276"/>
  <c r="G276" l="1"/>
  <c r="E277"/>
  <c r="G277" l="1"/>
  <c r="E278"/>
  <c r="G278" l="1"/>
  <c r="E279"/>
  <c r="G279" l="1"/>
  <c r="E280"/>
  <c r="G280" l="1"/>
  <c r="G281" s="1"/>
  <c r="H313" s="1"/>
  <c r="L70" i="1" s="1"/>
  <c r="E282" i="15"/>
  <c r="G282" l="1"/>
  <c r="E283"/>
  <c r="H421"/>
  <c r="H424" s="1"/>
  <c r="H426" s="1"/>
  <c r="H369"/>
  <c r="H410"/>
  <c r="G283" l="1"/>
  <c r="E284" l="1"/>
  <c r="F284"/>
  <c r="F285" s="1"/>
  <c r="F286" s="1"/>
  <c r="F287" s="1"/>
  <c r="J243"/>
  <c r="J244" l="1"/>
  <c r="J245" s="1"/>
  <c r="J246" s="1"/>
  <c r="J247" s="1"/>
  <c r="J248" s="1"/>
  <c r="J250" s="1"/>
  <c r="G284"/>
  <c r="E285"/>
  <c r="J249" l="1"/>
  <c r="I368" s="1"/>
  <c r="J251"/>
  <c r="J252" s="1"/>
  <c r="J253" s="1"/>
  <c r="J254" s="1"/>
  <c r="J255" s="1"/>
  <c r="J256" s="1"/>
  <c r="J257" s="1"/>
  <c r="J258" s="1"/>
  <c r="J259" s="1"/>
  <c r="J260" s="1"/>
  <c r="J261" s="1"/>
  <c r="J263" s="1"/>
  <c r="G285"/>
  <c r="E286"/>
  <c r="G286" l="1"/>
  <c r="E287"/>
  <c r="J264"/>
  <c r="J267" s="1"/>
  <c r="J268" s="1"/>
  <c r="J269" s="1"/>
  <c r="J270" s="1"/>
  <c r="J271" s="1"/>
  <c r="J272" s="1"/>
  <c r="J273" s="1"/>
  <c r="J274" s="1"/>
  <c r="J276" s="1"/>
  <c r="I335"/>
  <c r="I129" s="1"/>
  <c r="I323"/>
  <c r="I325" s="1"/>
  <c r="I425"/>
  <c r="J262"/>
  <c r="J277" l="1"/>
  <c r="J278" s="1"/>
  <c r="J280" s="1"/>
  <c r="J281" s="1"/>
  <c r="J368"/>
  <c r="J335" s="1"/>
  <c r="J129" s="1"/>
  <c r="G287"/>
  <c r="E288"/>
  <c r="I243" s="1"/>
  <c r="J288" l="1"/>
  <c r="L368" s="1"/>
  <c r="L323" s="1"/>
  <c r="L325" s="1"/>
  <c r="K243"/>
  <c r="I244"/>
  <c r="J323"/>
  <c r="J325" s="1"/>
  <c r="J425"/>
  <c r="I245" l="1"/>
  <c r="K244"/>
  <c r="K245" l="1"/>
  <c r="I246"/>
  <c r="K246" l="1"/>
  <c r="I247"/>
  <c r="I248" l="1"/>
  <c r="K247"/>
  <c r="K248" l="1"/>
  <c r="K249" s="1"/>
  <c r="I313" s="1"/>
  <c r="I250"/>
  <c r="I251" s="1"/>
  <c r="I369" l="1"/>
  <c r="I421"/>
  <c r="I410"/>
  <c r="K250"/>
  <c r="I424" l="1"/>
  <c r="I426" l="1"/>
  <c r="E341" l="1"/>
  <c r="E343" s="1"/>
  <c r="K110"/>
  <c r="L110" l="1"/>
  <c r="H200" s="1"/>
  <c r="F341"/>
  <c r="E363"/>
  <c r="E371" s="1"/>
  <c r="H207" l="1"/>
  <c r="I207" s="1"/>
  <c r="G73"/>
  <c r="L180" i="1" s="1"/>
  <c r="E180" s="1"/>
  <c r="I200" i="15"/>
  <c r="E152" i="1" l="1"/>
  <c r="F152" s="1"/>
  <c r="F149" s="1"/>
  <c r="H210" i="15"/>
  <c r="G74"/>
  <c r="J200"/>
  <c r="I210"/>
  <c r="K152" i="1" l="1"/>
  <c r="K149" s="1"/>
  <c r="K147" s="1"/>
  <c r="H152"/>
  <c r="H149" s="1"/>
  <c r="H147" s="1"/>
  <c r="E155"/>
  <c r="F155" s="1"/>
  <c r="G155" s="1"/>
  <c r="H155" s="1"/>
  <c r="J152"/>
  <c r="J149" s="1"/>
  <c r="J147" s="1"/>
  <c r="I152"/>
  <c r="I149" s="1"/>
  <c r="L208" i="15" s="1"/>
  <c r="L211" s="1"/>
  <c r="I310" s="1"/>
  <c r="J310" s="1"/>
  <c r="G152" i="1"/>
  <c r="G149" s="1"/>
  <c r="G147" s="1"/>
  <c r="L152"/>
  <c r="L149" s="1"/>
  <c r="L147" s="1"/>
  <c r="E149"/>
  <c r="K200" i="15"/>
  <c r="I208"/>
  <c r="F147" i="1"/>
  <c r="K310" i="15" l="1"/>
  <c r="J357"/>
  <c r="J409"/>
  <c r="J422"/>
  <c r="J342"/>
  <c r="K208"/>
  <c r="K211" s="1"/>
  <c r="H310" s="1"/>
  <c r="J208"/>
  <c r="J211" s="1"/>
  <c r="G310" s="1"/>
  <c r="I147" i="1"/>
  <c r="I211" i="15"/>
  <c r="F310" s="1"/>
  <c r="J65" i="1" s="1"/>
  <c r="I209" i="15"/>
  <c r="L200"/>
  <c r="L201" s="1"/>
  <c r="I309" s="1"/>
  <c r="I311" s="1"/>
  <c r="F409"/>
  <c r="F412" s="1"/>
  <c r="I342"/>
  <c r="I357"/>
  <c r="I409"/>
  <c r="I320"/>
  <c r="J320" s="1"/>
  <c r="K320" s="1"/>
  <c r="L320" s="1"/>
  <c r="I422"/>
  <c r="I155" i="1"/>
  <c r="H409" i="15" l="1"/>
  <c r="L65" i="1"/>
  <c r="G342" i="15"/>
  <c r="K65" i="1"/>
  <c r="K357" i="15"/>
  <c r="L310"/>
  <c r="K422"/>
  <c r="K342"/>
  <c r="K409"/>
  <c r="G320"/>
  <c r="H320"/>
  <c r="H357"/>
  <c r="G357"/>
  <c r="H342"/>
  <c r="H422"/>
  <c r="G422"/>
  <c r="G409"/>
  <c r="G412" s="1"/>
  <c r="B3265" s="1"/>
  <c r="F357"/>
  <c r="F342"/>
  <c r="F343" s="1"/>
  <c r="F422"/>
  <c r="F320"/>
  <c r="J207"/>
  <c r="I212"/>
  <c r="I403"/>
  <c r="J309"/>
  <c r="J311" s="1"/>
  <c r="J155" i="1"/>
  <c r="K3265" i="15" l="1"/>
  <c r="M3265" s="1"/>
  <c r="L357"/>
  <c r="L342"/>
  <c r="L409"/>
  <c r="L422"/>
  <c r="J403"/>
  <c r="K309"/>
  <c r="K311" s="1"/>
  <c r="J209"/>
  <c r="J210"/>
  <c r="G341"/>
  <c r="G343" s="1"/>
  <c r="K155" i="1"/>
  <c r="L155" s="1"/>
  <c r="N3265" i="15" l="1"/>
  <c r="K403"/>
  <c r="L309"/>
  <c r="L311" s="1"/>
  <c r="H341"/>
  <c r="H343" s="1"/>
  <c r="J212"/>
  <c r="K207"/>
  <c r="I412" l="1"/>
  <c r="AH14"/>
  <c r="H412"/>
  <c r="K210"/>
  <c r="K209"/>
  <c r="I341"/>
  <c r="I343" s="1"/>
  <c r="L403"/>
  <c r="J341" l="1"/>
  <c r="J343" s="1"/>
  <c r="L207"/>
  <c r="K212"/>
  <c r="L210" l="1"/>
  <c r="L209"/>
  <c r="L212" s="1"/>
  <c r="K341"/>
  <c r="K343" s="1"/>
  <c r="L341" l="1"/>
  <c r="L343" s="1"/>
  <c r="F125" l="1"/>
  <c r="L35" i="1" l="1"/>
  <c r="H149" i="15"/>
  <c r="H218" l="1"/>
  <c r="I381"/>
  <c r="H221"/>
  <c r="H197"/>
  <c r="H201" s="1"/>
  <c r="G96" i="1" l="1"/>
  <c r="F346" i="15"/>
  <c r="F366" s="1"/>
  <c r="J381"/>
  <c r="I148"/>
  <c r="G346" l="1"/>
  <c r="G366" s="1"/>
  <c r="J148"/>
  <c r="J149" s="1"/>
  <c r="I149"/>
  <c r="I382" s="1"/>
  <c r="K93" i="1"/>
  <c r="K94" s="1"/>
  <c r="K381" i="15"/>
  <c r="H346" l="1"/>
  <c r="H366" s="1"/>
  <c r="G97" i="1"/>
  <c r="J218" i="15"/>
  <c r="G308" s="1"/>
  <c r="G402" s="1"/>
  <c r="J382"/>
  <c r="J197"/>
  <c r="J201" s="1"/>
  <c r="G309" s="1"/>
  <c r="G300"/>
  <c r="G302" s="1"/>
  <c r="J221"/>
  <c r="G316" s="1"/>
  <c r="K95" i="1"/>
  <c r="K96" s="1"/>
  <c r="L381" i="15"/>
  <c r="F396"/>
  <c r="I197"/>
  <c r="I201" s="1"/>
  <c r="I383"/>
  <c r="G98" i="1" s="1"/>
  <c r="I221" i="15"/>
  <c r="I218"/>
  <c r="C3533" s="1"/>
  <c r="F300"/>
  <c r="G345" l="1"/>
  <c r="I346"/>
  <c r="K68" i="1"/>
  <c r="F302" i="15"/>
  <c r="F40" i="1" s="1"/>
  <c r="G127" i="15"/>
  <c r="G40" i="1"/>
  <c r="G405" i="15"/>
  <c r="K67" i="1"/>
  <c r="G403" i="15"/>
  <c r="K62" i="1"/>
  <c r="G396" i="15"/>
  <c r="G311"/>
  <c r="G312" s="1"/>
  <c r="J383"/>
  <c r="G347" s="1"/>
  <c r="F347"/>
  <c r="F367" s="1"/>
  <c r="F405"/>
  <c r="F316"/>
  <c r="J67" i="1" s="1"/>
  <c r="F403" i="15"/>
  <c r="F309"/>
  <c r="J62" i="1" s="1"/>
  <c r="F345" i="15"/>
  <c r="I384"/>
  <c r="F402"/>
  <c r="F308"/>
  <c r="J68" i="1" s="1"/>
  <c r="F127" i="15" l="1"/>
  <c r="F311"/>
  <c r="I386"/>
  <c r="I387"/>
  <c r="G367"/>
  <c r="K383"/>
  <c r="H347" s="1"/>
  <c r="I366"/>
  <c r="J346"/>
  <c r="F365"/>
  <c r="J384"/>
  <c r="I312"/>
  <c r="G101" i="1" l="1"/>
  <c r="G100"/>
  <c r="F312" i="15"/>
  <c r="J387"/>
  <c r="J386"/>
  <c r="H367"/>
  <c r="L383"/>
  <c r="I347" s="1"/>
  <c r="J366"/>
  <c r="K346"/>
  <c r="J312"/>
  <c r="G365"/>
  <c r="F101" i="1" l="1"/>
  <c r="H93" s="1"/>
  <c r="G107" s="1"/>
  <c r="G75" i="15" s="1"/>
  <c r="K111"/>
  <c r="H101" i="1"/>
  <c r="J390" i="15"/>
  <c r="I224" s="1"/>
  <c r="K312"/>
  <c r="K366"/>
  <c r="L346"/>
  <c r="L366" s="1"/>
  <c r="J347"/>
  <c r="I367"/>
  <c r="L384"/>
  <c r="I107" i="1" l="1"/>
  <c r="I388" i="15" s="1"/>
  <c r="G108" i="1"/>
  <c r="L182" s="1"/>
  <c r="E182" s="1"/>
  <c r="G76" i="15"/>
  <c r="L181" i="1"/>
  <c r="E181" s="1"/>
  <c r="J345" i="15"/>
  <c r="L386"/>
  <c r="L387"/>
  <c r="J367"/>
  <c r="K347"/>
  <c r="L312"/>
  <c r="E289" i="1" l="1"/>
  <c r="E288" s="1"/>
  <c r="K107"/>
  <c r="L184" s="1"/>
  <c r="E184" s="1"/>
  <c r="I108"/>
  <c r="L74" i="15" s="1"/>
  <c r="E290" i="1"/>
  <c r="J101"/>
  <c r="K101" s="1"/>
  <c r="L101" s="1"/>
  <c r="L390" i="15"/>
  <c r="K116"/>
  <c r="K367"/>
  <c r="L347"/>
  <c r="L367" s="1"/>
  <c r="K345"/>
  <c r="J365"/>
  <c r="L185" i="1" l="1"/>
  <c r="E185" s="1"/>
  <c r="E292" s="1"/>
  <c r="E291" s="1"/>
  <c r="L73" i="15"/>
  <c r="L76" s="1"/>
  <c r="K119"/>
  <c r="L119" s="1"/>
  <c r="F336" s="1"/>
  <c r="I225" s="1"/>
  <c r="B3639" s="1"/>
  <c r="I390"/>
  <c r="H224" s="1"/>
  <c r="H225" s="1"/>
  <c r="K108" i="1"/>
  <c r="I336" i="15"/>
  <c r="J336" s="1"/>
  <c r="K224"/>
  <c r="K112"/>
  <c r="L112" s="1"/>
  <c r="L111"/>
  <c r="L116"/>
  <c r="L345"/>
  <c r="K365"/>
  <c r="E293" i="1" l="1"/>
  <c r="E294"/>
  <c r="K120" i="15"/>
  <c r="F359"/>
  <c r="F314"/>
  <c r="J71" i="1" s="1"/>
  <c r="I110" i="15"/>
  <c r="I108"/>
  <c r="I109"/>
  <c r="I111"/>
  <c r="G336"/>
  <c r="J388"/>
  <c r="E356"/>
  <c r="L120"/>
  <c r="I116" s="1"/>
  <c r="L365"/>
  <c r="F404" l="1"/>
  <c r="F406" s="1"/>
  <c r="F317"/>
  <c r="F326"/>
  <c r="F370"/>
  <c r="F371" s="1"/>
  <c r="I112"/>
  <c r="L388"/>
  <c r="E361"/>
  <c r="E373" s="1"/>
  <c r="E374" s="1"/>
  <c r="E333"/>
  <c r="G359"/>
  <c r="F318" l="1"/>
  <c r="F319" s="1"/>
  <c r="F41" i="1"/>
  <c r="F414" i="15"/>
  <c r="F413"/>
  <c r="F372"/>
  <c r="E348"/>
  <c r="E349" s="1"/>
  <c r="F333"/>
  <c r="E339"/>
  <c r="F321" l="1"/>
  <c r="F420"/>
  <c r="F423" s="1"/>
  <c r="F427" s="1"/>
  <c r="F355"/>
  <c r="F361" s="1"/>
  <c r="F373" s="1"/>
  <c r="F374" s="1"/>
  <c r="F334"/>
  <c r="F339" s="1"/>
  <c r="F128"/>
  <c r="F416"/>
  <c r="F415"/>
  <c r="E340"/>
  <c r="K336"/>
  <c r="L336" s="1"/>
  <c r="G333"/>
  <c r="H333" s="1"/>
  <c r="I333" s="1"/>
  <c r="F130" l="1"/>
  <c r="G372"/>
  <c r="F348"/>
  <c r="F349" s="1"/>
  <c r="J333"/>
  <c r="F42" i="1" l="1"/>
  <c r="F340" i="15"/>
  <c r="F43" i="1"/>
  <c r="K333" i="15"/>
  <c r="L333" l="1"/>
  <c r="H164" l="1"/>
  <c r="B2870"/>
  <c r="K2870" s="1"/>
  <c r="K251"/>
  <c r="M2870" l="1"/>
  <c r="O2870" l="1"/>
  <c r="P2870" s="1"/>
  <c r="I252" s="1"/>
  <c r="K252" s="1"/>
  <c r="N2870"/>
  <c r="I253" l="1"/>
  <c r="I254" s="1"/>
  <c r="K254" s="1"/>
  <c r="K253" l="1"/>
  <c r="I255"/>
  <c r="K255" s="1"/>
  <c r="I256" l="1"/>
  <c r="K256" s="1"/>
  <c r="I257" l="1"/>
  <c r="I258" s="1"/>
  <c r="K257" l="1"/>
  <c r="K258"/>
  <c r="I259"/>
  <c r="I260" s="1"/>
  <c r="K259" l="1"/>
  <c r="K260" l="1"/>
  <c r="C2870"/>
  <c r="I261"/>
  <c r="K261" l="1"/>
  <c r="K262" s="1"/>
  <c r="I263"/>
  <c r="I264" l="1"/>
  <c r="K263"/>
  <c r="J313"/>
  <c r="J410" l="1"/>
  <c r="J412" s="1"/>
  <c r="J421"/>
  <c r="J369"/>
  <c r="I265"/>
  <c r="K264"/>
  <c r="K265" l="1"/>
  <c r="J265"/>
  <c r="J275" s="1"/>
  <c r="J424"/>
  <c r="J426" l="1"/>
  <c r="K3639"/>
  <c r="K368"/>
  <c r="J289"/>
  <c r="I266"/>
  <c r="K323" l="1"/>
  <c r="K325" s="1"/>
  <c r="K425"/>
  <c r="L425" s="1"/>
  <c r="K335"/>
  <c r="I267"/>
  <c r="K266"/>
  <c r="M3639"/>
  <c r="O3639" s="1"/>
  <c r="P3639" l="1"/>
  <c r="L335"/>
  <c r="L129" s="1"/>
  <c r="K129"/>
  <c r="K267"/>
  <c r="I268"/>
  <c r="N3639"/>
  <c r="K268" l="1"/>
  <c r="I269"/>
  <c r="K269" l="1"/>
  <c r="I270"/>
  <c r="K270" l="1"/>
  <c r="I271"/>
  <c r="I272" l="1"/>
  <c r="K271"/>
  <c r="I273" l="1"/>
  <c r="K272"/>
  <c r="K273" l="1"/>
  <c r="I274"/>
  <c r="I276" l="1"/>
  <c r="K274"/>
  <c r="K275" s="1"/>
  <c r="K313" l="1"/>
  <c r="I277"/>
  <c r="K276"/>
  <c r="I278" l="1"/>
  <c r="K277"/>
  <c r="K421"/>
  <c r="K410"/>
  <c r="K412" s="1"/>
  <c r="K369"/>
  <c r="K424" l="1"/>
  <c r="L421"/>
  <c r="K278"/>
  <c r="I279"/>
  <c r="K426" l="1"/>
  <c r="L424"/>
  <c r="L426" s="1"/>
  <c r="K279"/>
  <c r="I280"/>
  <c r="I281" l="1"/>
  <c r="K280"/>
  <c r="K281" l="1"/>
  <c r="I282"/>
  <c r="K282" l="1"/>
  <c r="I283"/>
  <c r="K283" l="1"/>
  <c r="I284"/>
  <c r="I285" l="1"/>
  <c r="K284"/>
  <c r="I286" l="1"/>
  <c r="K285"/>
  <c r="I287" l="1"/>
  <c r="K287" s="1"/>
  <c r="K286"/>
  <c r="K288" l="1"/>
  <c r="L313" l="1"/>
  <c r="K289"/>
  <c r="L369" l="1"/>
  <c r="L410"/>
  <c r="L412" s="1"/>
  <c r="K142" l="1"/>
  <c r="AH12"/>
  <c r="K144" l="1"/>
  <c r="K148" s="1"/>
  <c r="K149" s="1"/>
  <c r="K218" s="1"/>
  <c r="B3079"/>
  <c r="K3079" s="1"/>
  <c r="H300" l="1"/>
  <c r="H302" s="1"/>
  <c r="H127" s="1"/>
  <c r="C3185" s="1"/>
  <c r="K197"/>
  <c r="K201" s="1"/>
  <c r="H309" s="1"/>
  <c r="L62" i="1" s="1"/>
  <c r="M3079" i="15"/>
  <c r="N3079" s="1"/>
  <c r="K221"/>
  <c r="H316" s="1"/>
  <c r="L67" i="1" s="1"/>
  <c r="K382" i="15"/>
  <c r="H308"/>
  <c r="B3533"/>
  <c r="K3533" s="1"/>
  <c r="H396" l="1"/>
  <c r="H40" i="1"/>
  <c r="H405" i="15"/>
  <c r="H403"/>
  <c r="H345"/>
  <c r="I365" s="1"/>
  <c r="K384"/>
  <c r="K386" s="1"/>
  <c r="M3533"/>
  <c r="O3533" s="1"/>
  <c r="H311"/>
  <c r="H312" s="1"/>
  <c r="L68" i="1"/>
  <c r="H402" i="15"/>
  <c r="H365" l="1"/>
  <c r="K387"/>
  <c r="I101" i="1" s="1"/>
  <c r="N3533" i="15"/>
  <c r="P3533"/>
  <c r="AH17" s="1"/>
  <c r="K390" l="1"/>
  <c r="H336" l="1"/>
  <c r="I359" s="1"/>
  <c r="J224"/>
  <c r="J225" s="1"/>
  <c r="G314" s="1"/>
  <c r="K225"/>
  <c r="K388"/>
  <c r="H359" l="1"/>
  <c r="G370"/>
  <c r="G371" s="1"/>
  <c r="G326"/>
  <c r="K71" i="1"/>
  <c r="G404" i="15"/>
  <c r="G406" s="1"/>
  <c r="G317"/>
  <c r="L224"/>
  <c r="L225" s="1"/>
  <c r="H314"/>
  <c r="C3639"/>
  <c r="G413" l="1"/>
  <c r="G414"/>
  <c r="G41" i="1"/>
  <c r="G318" i="15"/>
  <c r="G319"/>
  <c r="I314"/>
  <c r="I317" s="1"/>
  <c r="I318" s="1"/>
  <c r="I319" s="1"/>
  <c r="H326"/>
  <c r="H370"/>
  <c r="H371" s="1"/>
  <c r="H404"/>
  <c r="H406" s="1"/>
  <c r="L71" i="1"/>
  <c r="H317" i="15"/>
  <c r="I41" i="1" l="1"/>
  <c r="I326" i="15"/>
  <c r="G355"/>
  <c r="G361" s="1"/>
  <c r="G373" s="1"/>
  <c r="G374" s="1"/>
  <c r="G420"/>
  <c r="G423" s="1"/>
  <c r="G427" s="1"/>
  <c r="G321"/>
  <c r="G128"/>
  <c r="G334"/>
  <c r="G415"/>
  <c r="G416"/>
  <c r="I404"/>
  <c r="I406" s="1"/>
  <c r="I414" s="1"/>
  <c r="J314"/>
  <c r="J404" s="1"/>
  <c r="J406" s="1"/>
  <c r="J413" s="1"/>
  <c r="I370"/>
  <c r="I371" s="1"/>
  <c r="I420"/>
  <c r="I321"/>
  <c r="I128"/>
  <c r="H413"/>
  <c r="H414"/>
  <c r="G295" s="1"/>
  <c r="H41" i="1"/>
  <c r="H318" i="15"/>
  <c r="H319" s="1"/>
  <c r="H420" s="1"/>
  <c r="B3345" s="1"/>
  <c r="J370" l="1"/>
  <c r="J371" s="1"/>
  <c r="J414"/>
  <c r="I413"/>
  <c r="I415" s="1"/>
  <c r="G339"/>
  <c r="G130"/>
  <c r="G348"/>
  <c r="H372"/>
  <c r="K314"/>
  <c r="K370" s="1"/>
  <c r="K371" s="1"/>
  <c r="J317"/>
  <c r="J41" i="1" s="1"/>
  <c r="J326" i="15"/>
  <c r="H355"/>
  <c r="H361" s="1"/>
  <c r="H373" s="1"/>
  <c r="H128"/>
  <c r="H321"/>
  <c r="H334"/>
  <c r="J415"/>
  <c r="J416"/>
  <c r="H415"/>
  <c r="O75" i="1"/>
  <c r="O47" s="1"/>
  <c r="G131" i="15"/>
  <c r="H416"/>
  <c r="G294"/>
  <c r="I416" l="1"/>
  <c r="B3746"/>
  <c r="K3746" s="1"/>
  <c r="M3746" s="1"/>
  <c r="O3746" s="1"/>
  <c r="P3746" s="1"/>
  <c r="L314"/>
  <c r="L370" s="1"/>
  <c r="L371" s="1"/>
  <c r="K404"/>
  <c r="K406" s="1"/>
  <c r="K413" s="1"/>
  <c r="K415" s="1"/>
  <c r="G349"/>
  <c r="G43" i="1" s="1"/>
  <c r="G42"/>
  <c r="H374" i="15"/>
  <c r="B3452" s="1"/>
  <c r="N3452" s="1"/>
  <c r="K326"/>
  <c r="K317"/>
  <c r="K41" i="1" s="1"/>
  <c r="J318" i="15"/>
  <c r="J319" s="1"/>
  <c r="J128" s="1"/>
  <c r="H130"/>
  <c r="H339"/>
  <c r="I334"/>
  <c r="K294"/>
  <c r="K295"/>
  <c r="N3746" l="1"/>
  <c r="G340"/>
  <c r="K416"/>
  <c r="L326"/>
  <c r="L404"/>
  <c r="L406" s="1"/>
  <c r="L414" s="1"/>
  <c r="I372"/>
  <c r="K414"/>
  <c r="H348"/>
  <c r="H349" s="1"/>
  <c r="H43" i="1" s="1"/>
  <c r="L317" i="15"/>
  <c r="L41" i="1" s="1"/>
  <c r="J321" i="15"/>
  <c r="K318"/>
  <c r="K319" s="1"/>
  <c r="K128" s="1"/>
  <c r="C3746"/>
  <c r="I130"/>
  <c r="I339"/>
  <c r="J334"/>
  <c r="D3746" l="1"/>
  <c r="H42" i="1"/>
  <c r="K321" i="15"/>
  <c r="L413"/>
  <c r="L415" s="1"/>
  <c r="L318"/>
  <c r="L319" s="1"/>
  <c r="H340"/>
  <c r="J339"/>
  <c r="J130"/>
  <c r="K334"/>
  <c r="K3452"/>
  <c r="L416" l="1"/>
  <c r="L321"/>
  <c r="L128"/>
  <c r="K339"/>
  <c r="K130"/>
  <c r="L334"/>
  <c r="M3452"/>
  <c r="O3452" s="1"/>
  <c r="P3452" s="1"/>
  <c r="K355" l="1"/>
  <c r="K361" s="1"/>
  <c r="K373" s="1"/>
  <c r="L355"/>
  <c r="L361" s="1"/>
  <c r="L373" s="1"/>
  <c r="I355"/>
  <c r="I361" s="1"/>
  <c r="I373" s="1"/>
  <c r="I374" s="1"/>
  <c r="J372" s="1"/>
  <c r="J355"/>
  <c r="J361" s="1"/>
  <c r="J373" s="1"/>
  <c r="H423"/>
  <c r="H427" s="1"/>
  <c r="AH16"/>
  <c r="L339"/>
  <c r="L130"/>
  <c r="J374" l="1"/>
  <c r="K372" s="1"/>
  <c r="K374" s="1"/>
  <c r="I348"/>
  <c r="I42" i="1" s="1"/>
  <c r="D3185" i="15"/>
  <c r="K3185" s="1"/>
  <c r="I349" l="1"/>
  <c r="I340" s="1"/>
  <c r="J348"/>
  <c r="J349" s="1"/>
  <c r="K348"/>
  <c r="C3452"/>
  <c r="L372"/>
  <c r="L374" s="1"/>
  <c r="L348" s="1"/>
  <c r="M3185"/>
  <c r="J42" i="1" l="1"/>
  <c r="I43"/>
  <c r="K349" i="15"/>
  <c r="K42" i="1"/>
  <c r="L42"/>
  <c r="L349" i="15"/>
  <c r="J43" i="1"/>
  <c r="J340" i="15"/>
  <c r="AH13"/>
  <c r="N3185"/>
  <c r="I423"/>
  <c r="I427" s="1"/>
  <c r="K3345"/>
  <c r="K43" i="1" l="1"/>
  <c r="K340" i="15"/>
  <c r="L340"/>
  <c r="L43" i="1"/>
  <c r="M3345" i="15"/>
  <c r="O3345" s="1"/>
  <c r="P3345" s="1"/>
  <c r="J420" l="1"/>
  <c r="J423" s="1"/>
  <c r="J427" s="1"/>
  <c r="K420"/>
  <c r="K423" s="1"/>
  <c r="K427" s="1"/>
  <c r="AH15"/>
  <c r="N3345"/>
  <c r="L420" l="1"/>
  <c r="L423" s="1"/>
  <c r="L427" s="1"/>
  <c r="F428" s="1"/>
  <c r="E131" s="1"/>
  <c r="O76" i="1" l="1"/>
  <c r="O48" s="1"/>
</calcChain>
</file>

<file path=xl/sharedStrings.xml><?xml version="1.0" encoding="utf-8"?>
<sst xmlns="http://schemas.openxmlformats.org/spreadsheetml/2006/main" count="841" uniqueCount="674">
  <si>
    <t>Skilled Workers</t>
  </si>
  <si>
    <t>Name:</t>
  </si>
  <si>
    <t>Unit Name</t>
  </si>
  <si>
    <t>COMMUNITY &amp; CATAGORY</t>
  </si>
  <si>
    <t>Unskilled Workers</t>
  </si>
  <si>
    <t>-New Unit-  N.A.,</t>
  </si>
  <si>
    <t>on Machinary</t>
  </si>
  <si>
    <t>S/o., D/o. W/o.,</t>
  </si>
  <si>
    <t>Name &amp; S/o.,</t>
  </si>
  <si>
    <t>PMEGP Scheme</t>
  </si>
  <si>
    <t>Food Processing Scheme</t>
  </si>
  <si>
    <t>Type of Products to be services / manufactured  to be offered:</t>
  </si>
  <si>
    <t>SUB:</t>
  </si>
  <si>
    <t>Qualficatons</t>
  </si>
  <si>
    <t xml:space="preserve"> - Total Project Cost: ---&gt;</t>
  </si>
  <si>
    <t>Agriculture Godown scheme</t>
  </si>
  <si>
    <t>Products --&gt;</t>
  </si>
  <si>
    <t>DIC's  State Subsidy Scheme</t>
  </si>
  <si>
    <t>K.V.I.C./ A.P.K.V.I.B.,</t>
  </si>
  <si>
    <t>% Capaicity --&gt;</t>
  </si>
  <si>
    <t>PARTICULARS OF EXPENDITURE</t>
  </si>
  <si>
    <t>All Figures are rounded to '000</t>
  </si>
  <si>
    <t>Mineral Based Industry</t>
  </si>
  <si>
    <t>Forest Based Industry</t>
  </si>
  <si>
    <t>Agro Based &amp; Food Industry</t>
  </si>
  <si>
    <t>Polymer &amp; Chemical Industry</t>
  </si>
  <si>
    <t>~per day Rs.</t>
  </si>
  <si>
    <t>Engineering &amp; Non-Conventional Energy</t>
  </si>
  <si>
    <t>Textile Industry</t>
  </si>
  <si>
    <t>Service Industry</t>
  </si>
  <si>
    <t>Raw Material Consumption</t>
  </si>
  <si>
    <t>Transportation/Freights</t>
  </si>
  <si>
    <t>Repairs &amp; Maintenance</t>
  </si>
  <si>
    <t>Administrative Expenses</t>
  </si>
  <si>
    <t>Interest on W.C. loan</t>
  </si>
  <si>
    <t>Salaries Portion</t>
  </si>
  <si>
    <t>Interest on term loan</t>
  </si>
  <si>
    <t>Selling expenses</t>
  </si>
  <si>
    <t>Term Loan</t>
  </si>
  <si>
    <t>Unskilled workers</t>
  </si>
  <si>
    <t xml:space="preserve"> 2023-24</t>
  </si>
  <si>
    <t xml:space="preserve"> 2024-25</t>
  </si>
  <si>
    <t xml:space="preserve"> 2025-26</t>
  </si>
  <si>
    <t xml:space="preserve"> 2026-27</t>
  </si>
  <si>
    <t>Vizag</t>
  </si>
  <si>
    <t>Regd. Add</t>
  </si>
  <si>
    <t>Unit Add:</t>
  </si>
  <si>
    <t>Applying to:</t>
  </si>
  <si>
    <t>Repayment of T.Loan</t>
  </si>
  <si>
    <t>D.S.C.R. --&gt;</t>
  </si>
  <si>
    <t xml:space="preserve"> (Rounded to '000)---&gt;</t>
  </si>
  <si>
    <t>BREAK EVEN ANALYSIS   (B.E.P.):</t>
  </si>
  <si>
    <t>TOTAL VARIABLE EXPENSES:--&gt;</t>
  </si>
  <si>
    <t>Break-even Quantity       =</t>
  </si>
  <si>
    <t>Cash B.E.P.             (%)    =</t>
  </si>
  <si>
    <t>Break-even Sales (Rs.)   =</t>
  </si>
  <si>
    <t>Break-even Point   (%)    =</t>
  </si>
  <si>
    <t>PRODUCTION CAPACITY</t>
  </si>
  <si>
    <t>WORKING DAYS &amp; HOURS/DAY</t>
  </si>
  <si>
    <t>A,  RAW MATERIALS:</t>
  </si>
  <si>
    <t>Total- 1 (Fixed)</t>
  </si>
  <si>
    <t>Other Liablities</t>
  </si>
  <si>
    <t>ENTERPRENURER DETAILS:</t>
  </si>
  <si>
    <t>1st</t>
  </si>
  <si>
    <t>2nd</t>
  </si>
  <si>
    <t>3rd</t>
  </si>
  <si>
    <t>4th</t>
  </si>
  <si>
    <t>*</t>
  </si>
  <si>
    <t>Capacity:?</t>
  </si>
  <si>
    <t>%</t>
  </si>
  <si>
    <t>Name of the unit:</t>
  </si>
  <si>
    <t>Proprietor</t>
  </si>
  <si>
    <t>RAW MATERIALS::</t>
  </si>
  <si>
    <t>Phone</t>
  </si>
  <si>
    <t>% On Sales</t>
  </si>
  <si>
    <t>% on S.P.</t>
  </si>
  <si>
    <t xml:space="preserve"> 2020-21</t>
  </si>
  <si>
    <t xml:space="preserve"> 2021-22</t>
  </si>
  <si>
    <t>T.L   :</t>
  </si>
  <si>
    <t xml:space="preserve"> 2022-23</t>
  </si>
  <si>
    <t>DESINGNATION</t>
  </si>
  <si>
    <t>NO'S</t>
  </si>
  <si>
    <t>P.MONTH</t>
  </si>
  <si>
    <t>EXECUTIVES</t>
  </si>
  <si>
    <t>SUPERVISORY</t>
  </si>
  <si>
    <t>Supervisor</t>
  </si>
  <si>
    <t>ADMINISTRATIVE</t>
  </si>
  <si>
    <t>SKILLED WORKERS</t>
  </si>
  <si>
    <t>UNSKILLED WORKERS</t>
  </si>
  <si>
    <t>TOTAL</t>
  </si>
  <si>
    <t>A</t>
  </si>
  <si>
    <t>B</t>
  </si>
  <si>
    <t xml:space="preserve"> </t>
  </si>
  <si>
    <t>PROPOSED</t>
  </si>
  <si>
    <t>EXISTING</t>
  </si>
  <si>
    <t>YEARS ----&gt;&gt;&gt;</t>
  </si>
  <si>
    <t>C/o.</t>
  </si>
  <si>
    <t>TOTAL:</t>
  </si>
  <si>
    <t>DSCR</t>
  </si>
  <si>
    <t>Dear Sir,</t>
  </si>
  <si>
    <t>Submitted by:</t>
  </si>
  <si>
    <t>LIST OF STATEMENTS / ENCLOSURES / ANNEXURES :</t>
  </si>
  <si>
    <t xml:space="preserve">     Capacity (%) --&gt;</t>
  </si>
  <si>
    <t>D. UTILITIES: (ELECTRICITY &amp; POWER/FUEL, WATER ETC.,)</t>
  </si>
  <si>
    <t>TERM LOAN REPAYMENT  AND INTEREST CALCULATIONS:</t>
  </si>
  <si>
    <t>Cash BEP                                 :</t>
  </si>
  <si>
    <t>(Days)</t>
  </si>
  <si>
    <t>PROJECT AT A GLANCE</t>
  </si>
  <si>
    <t>PROJECT  REPORT  ON :</t>
  </si>
  <si>
    <t>UNIT NAME</t>
  </si>
  <si>
    <t>APPLICANTS ADDRESS</t>
  </si>
  <si>
    <t>CONSTITUTION</t>
  </si>
  <si>
    <t>PARTICULARS</t>
  </si>
  <si>
    <t>2.</t>
  </si>
  <si>
    <t>b.</t>
  </si>
  <si>
    <t>Total Project Cost: --&gt;</t>
  </si>
  <si>
    <t>MEANS OF FINANCE:</t>
  </si>
  <si>
    <t>1.</t>
  </si>
  <si>
    <t>BANK LOAN:</t>
  </si>
  <si>
    <t>Particulars</t>
  </si>
  <si>
    <t>Particulars:</t>
  </si>
  <si>
    <t>Total</t>
  </si>
  <si>
    <t>Incr. in Sh.Capital</t>
  </si>
  <si>
    <t>Incr.in Raw Materials</t>
  </si>
  <si>
    <t>Incr.in Finished Goods</t>
  </si>
  <si>
    <t>Incr.in W.I.P.</t>
  </si>
  <si>
    <t>Incr.in Receivables</t>
  </si>
  <si>
    <t>5th</t>
  </si>
  <si>
    <t>6th</t>
  </si>
  <si>
    <t>at 100%</t>
  </si>
  <si>
    <t>Unit Cost</t>
  </si>
  <si>
    <t>ECONOMICS OF WORKINGS:</t>
  </si>
  <si>
    <t>At</t>
  </si>
  <si>
    <t>b. Repairs &amp; Maintenance:</t>
  </si>
  <si>
    <t>% on Machinery Cost</t>
  </si>
  <si>
    <t>% on Buildings Cost</t>
  </si>
  <si>
    <t>a.</t>
  </si>
  <si>
    <t>Total:</t>
  </si>
  <si>
    <t xml:space="preserve">  (Per  Month)</t>
  </si>
  <si>
    <t xml:space="preserve">   (Per Day)</t>
  </si>
  <si>
    <t>Total 1+2</t>
  </si>
  <si>
    <t>% On Sales Value</t>
  </si>
  <si>
    <t>YEAR / MTH</t>
  </si>
  <si>
    <t>OB</t>
  </si>
  <si>
    <t>REPAYMENT</t>
  </si>
  <si>
    <t>INTEREST</t>
  </si>
  <si>
    <t>Yr</t>
  </si>
  <si>
    <t>TOTAL:--&gt;</t>
  </si>
  <si>
    <t xml:space="preserve">   TOTAL:--&gt;</t>
  </si>
  <si>
    <t>GRAND TOTAL:</t>
  </si>
  <si>
    <t xml:space="preserve"> Year--&gt;</t>
  </si>
  <si>
    <t>A.</t>
  </si>
  <si>
    <t>% Capacity Utilisation:</t>
  </si>
  <si>
    <t>B.</t>
  </si>
  <si>
    <t xml:space="preserve"> a.Sales/Expected Receipts</t>
  </si>
  <si>
    <t xml:space="preserve"> b.Misc.Receipts</t>
  </si>
  <si>
    <t xml:space="preserve"> d.Net Sales</t>
  </si>
  <si>
    <t>C Cost of Production:</t>
  </si>
  <si>
    <t>2. Transportation/Freights</t>
  </si>
  <si>
    <t>3. Power &amp; Fuel</t>
  </si>
  <si>
    <t>4. Salaries &amp; Wages</t>
  </si>
  <si>
    <t>Yours Faithfully</t>
  </si>
  <si>
    <t>D.</t>
  </si>
  <si>
    <t>E.</t>
  </si>
  <si>
    <t xml:space="preserve"> Gross Profit  (B-D)</t>
  </si>
  <si>
    <t>F.</t>
  </si>
  <si>
    <t xml:space="preserve">  a.Interest on T.L.</t>
  </si>
  <si>
    <t xml:space="preserve">  b.Interest on C.C.</t>
  </si>
  <si>
    <t>-  Administration Expenses</t>
  </si>
  <si>
    <t xml:space="preserve">-  Marketing &amp; Selling exp., </t>
  </si>
  <si>
    <t>H.</t>
  </si>
  <si>
    <t xml:space="preserve"> Profit before Tax</t>
  </si>
  <si>
    <t>I.</t>
  </si>
  <si>
    <t xml:space="preserve"> Provision for Taxes</t>
  </si>
  <si>
    <t>J.</t>
  </si>
  <si>
    <t xml:space="preserve"> Add:Depreciation </t>
  </si>
  <si>
    <t>L.</t>
  </si>
  <si>
    <t xml:space="preserve"> Net Cash Accruals</t>
  </si>
  <si>
    <t>M.</t>
  </si>
  <si>
    <t xml:space="preserve"> Repayment Obligations</t>
  </si>
  <si>
    <t xml:space="preserve">  a.Towards Term Loan</t>
  </si>
  <si>
    <t xml:space="preserve">  b.Other Loans, if any-</t>
  </si>
  <si>
    <t>Total Repayment:</t>
  </si>
  <si>
    <t>Debt Service Paid</t>
  </si>
  <si>
    <t>Start</t>
  </si>
  <si>
    <t>SOURCES OF FUNDS:</t>
  </si>
  <si>
    <t>Cash Accruals</t>
  </si>
  <si>
    <t>Depreciation</t>
  </si>
  <si>
    <t>Increase in T.L.</t>
  </si>
  <si>
    <t>Creditors for R.M</t>
  </si>
  <si>
    <t>DISPOSITION OF FUNDS:</t>
  </si>
  <si>
    <t>Decrease in  T.L.</t>
  </si>
  <si>
    <t>Interest on T.Loan</t>
  </si>
  <si>
    <t>Interest W.C.Loan</t>
  </si>
  <si>
    <t>TOTAL :</t>
  </si>
  <si>
    <t>% approx. on Sales value</t>
  </si>
  <si>
    <t>YEAR/MTH</t>
  </si>
  <si>
    <t>Incr. in Bank  C.C.</t>
  </si>
  <si>
    <t>A. LIABILITIES:</t>
  </si>
  <si>
    <t>Equity Capital</t>
  </si>
  <si>
    <t>Reserves &amp; Surplus</t>
  </si>
  <si>
    <t>Term Loan-New</t>
  </si>
  <si>
    <t>W.C.Loan</t>
  </si>
  <si>
    <t>Cred. for R.M.</t>
  </si>
  <si>
    <t>B. ASSETS:</t>
  </si>
  <si>
    <t>Gross Block</t>
  </si>
  <si>
    <t>Net Block</t>
  </si>
  <si>
    <t>Raw Materials</t>
  </si>
  <si>
    <t>Finished Goods</t>
  </si>
  <si>
    <t>Work in Process</t>
  </si>
  <si>
    <t>Sundry Debtors</t>
  </si>
  <si>
    <t xml:space="preserve">Cash &amp; Bank </t>
  </si>
  <si>
    <t>TOTAL ASSETS::</t>
  </si>
  <si>
    <t>PERIOD</t>
  </si>
  <si>
    <t>1 Year</t>
  </si>
  <si>
    <t>2 Year</t>
  </si>
  <si>
    <t>3 Year</t>
  </si>
  <si>
    <t>4 Year</t>
  </si>
  <si>
    <t>1. CURRENT ASSETS:</t>
  </si>
  <si>
    <t>Packing Material</t>
  </si>
  <si>
    <t>3. WORKING CAPITAL GAP (NET WORKING CAPITAL)</t>
  </si>
  <si>
    <t>1..  S A L E S  ---&gt;</t>
  </si>
  <si>
    <t>CALCULATION OF DEBT SERVICE COVERAGE RATIO  (DSCR)</t>
  </si>
  <si>
    <t>Net Profit</t>
  </si>
  <si>
    <t xml:space="preserve">Interest </t>
  </si>
  <si>
    <t>Avr .DSCR  :</t>
  </si>
  <si>
    <t>Experience</t>
  </si>
  <si>
    <t xml:space="preserve">  II.  W A G E S:: (Variable)</t>
  </si>
  <si>
    <t xml:space="preserve">  I.  SALARIES (Fixed)::</t>
  </si>
  <si>
    <t>Total - 2 (Variable)</t>
  </si>
  <si>
    <t>C. Opening Bal.</t>
  </si>
  <si>
    <t xml:space="preserve">D. Net Surplus </t>
  </si>
  <si>
    <t>E. Cl.Balance</t>
  </si>
  <si>
    <t>To:</t>
  </si>
  <si>
    <t>on Bldgs</t>
  </si>
  <si>
    <t>c.</t>
  </si>
  <si>
    <t>d.</t>
  </si>
  <si>
    <t>e.</t>
  </si>
  <si>
    <t>2.  VARIABLE   EXPENSES:</t>
  </si>
  <si>
    <t>Wages Portion</t>
  </si>
  <si>
    <t>Date:</t>
  </si>
  <si>
    <t>Village</t>
  </si>
  <si>
    <t>District</t>
  </si>
  <si>
    <t>Ranga Reddy</t>
  </si>
  <si>
    <t>Nalgonda</t>
  </si>
  <si>
    <t>Hyderabad</t>
  </si>
  <si>
    <t>Total Means of Finance --&gt;</t>
  </si>
  <si>
    <t>TOTAL LIABILITIES.,:</t>
  </si>
  <si>
    <t>TOTAL CURRENT ASSETS (1)</t>
  </si>
  <si>
    <t>Incr. in Cap.Exptre</t>
  </si>
  <si>
    <t>Place:</t>
  </si>
  <si>
    <t>State Director,</t>
  </si>
  <si>
    <t>Branch:</t>
  </si>
  <si>
    <t>Power &amp; Fuel</t>
  </si>
  <si>
    <t>WORKING CAPITAL REQUIREMENT::::::</t>
  </si>
  <si>
    <t>From:</t>
  </si>
  <si>
    <t>Sub.total</t>
  </si>
  <si>
    <t>Bank</t>
  </si>
  <si>
    <t>Cash Credit Limit</t>
  </si>
  <si>
    <t>INDUSTRY GROUP</t>
  </si>
  <si>
    <t>E. STORES / CONSUMABLES, REPAIRS &amp; MAINTENANCE:</t>
  </si>
  <si>
    <t xml:space="preserve"> (Promoters Contribution)</t>
  </si>
  <si>
    <t>5. BANK BARROWINGS REQUIRED (C.C.Loan)</t>
  </si>
  <si>
    <t>TOTAL FIXED EXPENSES:--&gt;</t>
  </si>
  <si>
    <t>(NP+Interest)</t>
  </si>
  <si>
    <t xml:space="preserve">K.V.I.C., </t>
  </si>
  <si>
    <t>D.I.C.,</t>
  </si>
  <si>
    <t>K.V.I.C. (Div.Office).,</t>
  </si>
  <si>
    <t>4. MARGIN FOR WORKING CAPITAL            %</t>
  </si>
  <si>
    <t>TOTAL RAW MATERIALS COST:(Rounded to '000)</t>
  </si>
  <si>
    <t>DIC's  ST/SC State Subsidy Scheme</t>
  </si>
  <si>
    <t>Hand Made Paper Industry</t>
  </si>
  <si>
    <t>Promoters</t>
  </si>
  <si>
    <t>PROJECT  REPORT ON</t>
  </si>
  <si>
    <t>MACHINERY</t>
  </si>
  <si>
    <t>Experience in --&gt;</t>
  </si>
  <si>
    <t>Present Trading --&gt;</t>
  </si>
  <si>
    <t>Since --&gt; (years)</t>
  </si>
  <si>
    <t>Area/Mandal --&gt;</t>
  </si>
  <si>
    <t>Full Name of the Applicant   :</t>
  </si>
  <si>
    <t>Legal Status/Constitution    :</t>
  </si>
  <si>
    <t>Location of the Unit       :</t>
  </si>
  <si>
    <t>Education Qualifications   :</t>
  </si>
  <si>
    <t>Category               :</t>
  </si>
  <si>
    <t>Nature of Activity  :</t>
  </si>
  <si>
    <t>DOB</t>
  </si>
  <si>
    <t>Age</t>
  </si>
  <si>
    <t>Qualification</t>
  </si>
  <si>
    <t>Project Report on</t>
  </si>
  <si>
    <t>Place worked--&gt;</t>
  </si>
  <si>
    <t>&lt;-- PAST EXPERIENCE IN &amp; AT--&gt;</t>
  </si>
  <si>
    <t>&lt;--- ::PRESENTLY WORKING: ---&gt;</t>
  </si>
  <si>
    <t>H.No:--&gt;</t>
  </si>
  <si>
    <t xml:space="preserve"> -Existing unit-data separatly enclosed-</t>
  </si>
  <si>
    <t>Already Task force Committee approved the project under PMEGP Scheme and kindly process the application and do needful in this regard.</t>
  </si>
  <si>
    <t>Bank District</t>
  </si>
  <si>
    <t>NABARD Godown subsidy scheme</t>
  </si>
  <si>
    <t>Cash credit</t>
  </si>
  <si>
    <t>Own capital</t>
  </si>
  <si>
    <t>SHED COST</t>
  </si>
  <si>
    <t>PLANT</t>
  </si>
  <si>
    <t>W.C. TOTAL</t>
  </si>
  <si>
    <t>PIN Code</t>
  </si>
  <si>
    <t>Working Capital Loan (CC)</t>
  </si>
  <si>
    <t>Chairman / Managing Director,</t>
  </si>
  <si>
    <t>Karnataka</t>
  </si>
  <si>
    <t>FACTORY ADDRESS--&gt;</t>
  </si>
  <si>
    <t>Sy.No.</t>
  </si>
  <si>
    <t>CC Limit--&gt; ??</t>
  </si>
  <si>
    <t>FDR Adjustment --&gt;</t>
  </si>
  <si>
    <t>12 Months --&gt;</t>
  </si>
  <si>
    <t>CGFT --&gt;</t>
  </si>
  <si>
    <t>Subsidy--&gt;</t>
  </si>
  <si>
    <t>FDR - ADJ --&gt;</t>
  </si>
  <si>
    <t>FDR-ADJ--&gt;</t>
  </si>
  <si>
    <t>Adj.of subsidy</t>
  </si>
  <si>
    <t>&lt;--Adj. of Subsidy</t>
  </si>
  <si>
    <t>Closing</t>
  </si>
  <si>
    <t>Opening</t>
  </si>
  <si>
    <t>TOOLS</t>
  </si>
  <si>
    <t>BUIDINGS</t>
  </si>
  <si>
    <t xml:space="preserve"> &lt;-- FINAL</t>
  </si>
  <si>
    <t xml:space="preserve"> &lt;-- SLM</t>
  </si>
  <si>
    <t xml:space="preserve"> &lt;-- WDV</t>
  </si>
  <si>
    <t>D</t>
  </si>
  <si>
    <t xml:space="preserve"> - Land / Work Shed</t>
  </si>
  <si>
    <t xml:space="preserve"> - Net Working Capital Required</t>
  </si>
  <si>
    <t>CAPITAL CONTRIBUTION BY THE PROMOTER/S</t>
  </si>
  <si>
    <t>NOTE:  Due to Adjustment of  Subsidy (TDR) in Term Loan in the Ist Quarter of 4th year the DSCR will be low during that year and later years DSCR  will be high as the repayment is less.</t>
  </si>
  <si>
    <t>Dy.Director,</t>
  </si>
  <si>
    <t>A.P.K.V.I.B.,</t>
  </si>
  <si>
    <t>Worked in --&gt;</t>
  </si>
  <si>
    <t>DIC's State Subsidy (Woman's) Scheme</t>
  </si>
  <si>
    <t>37 month</t>
  </si>
  <si>
    <t xml:space="preserve">FDR Interest </t>
  </si>
  <si>
    <t>Vijayawada</t>
  </si>
  <si>
    <t>RES.ADDRESS--&gt;</t>
  </si>
  <si>
    <t>OWN/RENTED--??</t>
  </si>
  <si>
    <t>CIVIL WORKS</t>
  </si>
  <si>
    <t>NAME OF THE PROMOTER/S</t>
  </si>
  <si>
    <t>Packaging Industry</t>
  </si>
  <si>
    <t>TOTAL P.C</t>
  </si>
  <si>
    <t>Chennai</t>
  </si>
  <si>
    <t>Madurai</t>
  </si>
  <si>
    <t>K.V.I.B.,</t>
  </si>
  <si>
    <t>Own-Construct</t>
  </si>
  <si>
    <t>3. FIXED / SEMI-VARIABLE  EXPENSES:</t>
  </si>
  <si>
    <t xml:space="preserve">  </t>
  </si>
  <si>
    <t>Lease-No Civil</t>
  </si>
  <si>
    <t>Own-No civil</t>
  </si>
  <si>
    <t>&lt;&lt; bank dist</t>
  </si>
  <si>
    <t>&lt;&lt; comm mdl</t>
  </si>
  <si>
    <t>&lt;&lt; unit mdl</t>
  </si>
  <si>
    <t>&lt;&lt; comm.dist</t>
  </si>
  <si>
    <t>No FDR</t>
  </si>
  <si>
    <t>Break-even point (3rd Year):</t>
  </si>
  <si>
    <t>Break-Even Quantity:</t>
  </si>
  <si>
    <t>Break-Even Value  Rs.:</t>
  </si>
  <si>
    <r>
      <rPr>
        <b/>
        <sz val="11"/>
        <color indexed="8"/>
        <rFont val="Arial"/>
        <family val="2"/>
      </rPr>
      <t xml:space="preserve">ii). </t>
    </r>
    <r>
      <rPr>
        <b/>
        <u/>
        <sz val="11"/>
        <color indexed="8"/>
        <rFont val="Arial"/>
        <family val="2"/>
      </rPr>
      <t>Means of Finance of the Project</t>
    </r>
  </si>
  <si>
    <r>
      <rPr>
        <b/>
        <sz val="11"/>
        <color indexed="8"/>
        <rFont val="Arial"/>
        <family val="2"/>
      </rPr>
      <t xml:space="preserve">i). </t>
    </r>
    <r>
      <rPr>
        <b/>
        <u/>
        <sz val="11"/>
        <color indexed="8"/>
        <rFont val="Arial"/>
        <family val="2"/>
      </rPr>
      <t>Cost of the Proposed Project:</t>
    </r>
  </si>
  <si>
    <t xml:space="preserve"> - Machinery/Electrical/Prel.Exp etc.,</t>
  </si>
  <si>
    <t xml:space="preserve"> - Sub Total (Capital Expenditure)</t>
  </si>
  <si>
    <t>- Bank Term Loan</t>
  </si>
  <si>
    <t>- Bank  Cash Credit</t>
  </si>
  <si>
    <t>- Own Contribution of the Promoter</t>
  </si>
  <si>
    <t>- Other Loans, if any.,</t>
  </si>
  <si>
    <t>- Total Means of Finance : ---&gt;</t>
  </si>
  <si>
    <t>&lt;&lt; unit dist</t>
  </si>
  <si>
    <t>Introduction --&gt;</t>
  </si>
  <si>
    <t>Locational</t>
  </si>
  <si>
    <t>Raw Material</t>
  </si>
  <si>
    <t xml:space="preserve">Market </t>
  </si>
  <si>
    <t xml:space="preserve">Process </t>
  </si>
  <si>
    <t>Product specification</t>
  </si>
  <si>
    <t>Labor-skilled</t>
  </si>
  <si>
    <t>General Manager,</t>
  </si>
  <si>
    <t>State  Director / Dy.Diretor,</t>
  </si>
  <si>
    <t>Plastic Industry</t>
  </si>
  <si>
    <t>Food Packaging Industry</t>
  </si>
  <si>
    <t>General Engineering Industry</t>
  </si>
  <si>
    <t>Paper Industry</t>
  </si>
  <si>
    <t xml:space="preserve">Specialised in  making  PROJECT REPORTS,  C.M.A. Data to Banks  and Providing Guidence on Income-tax, Sales-Tax, Service-Tax, ROC &amp; LLP matters and undertaking filing of  all e-Returns for the SSI units. </t>
  </si>
  <si>
    <t>Surat, Ahmedabad &amp; Mumbai</t>
  </si>
  <si>
    <t>Kindly consider the project  under  "Credit Guarantee Trust Fund Scheme (CGTMSE).</t>
  </si>
  <si>
    <t>Mumbai, Delhi, Ahmedabad</t>
  </si>
  <si>
    <t>With Civil works</t>
  </si>
  <si>
    <t>Chennai, Banglore &amp; Hyderabad</t>
  </si>
  <si>
    <t>no of pages</t>
  </si>
  <si>
    <t>from</t>
  </si>
  <si>
    <t>same/next</t>
  </si>
  <si>
    <t>Both TL &amp; CC</t>
  </si>
  <si>
    <t>Only TL</t>
  </si>
  <si>
    <t>Only CC</t>
  </si>
  <si>
    <t>TL Details</t>
  </si>
  <si>
    <t>Mechanical Industry</t>
  </si>
  <si>
    <t>Steel &amp; Iron Industry</t>
  </si>
  <si>
    <t>Metallurgical Industry</t>
  </si>
  <si>
    <t>Chemical Industry</t>
  </si>
  <si>
    <t>Electrical, Electronics Industry</t>
  </si>
  <si>
    <t>Computer &amp; IT Industry</t>
  </si>
  <si>
    <t>Food &amp; Agro Based Industry</t>
  </si>
  <si>
    <t>Leather Industry</t>
  </si>
  <si>
    <t>Pharmaceutical &amp; Drugs Industry</t>
  </si>
  <si>
    <t>Paper &amp; Pulp Industry</t>
  </si>
  <si>
    <t>Soaps &amp; Detergents, Cosmetics Industry</t>
  </si>
  <si>
    <t>Hospitatlity Industry</t>
  </si>
  <si>
    <t>Bakery, Confectionery &amp; Food Products Industry</t>
  </si>
  <si>
    <t>Agro Based Industry</t>
  </si>
  <si>
    <t>Gums, Adhesives &amp; Resins Industry</t>
  </si>
  <si>
    <t>Essential Oils &amp; Aromatic  Industy</t>
  </si>
  <si>
    <t>Printing Industry</t>
  </si>
  <si>
    <t>Bio-Processing &amp; Bio Fuel Industry</t>
  </si>
  <si>
    <t>Herbs Cultivation &amp; Medicines Industry</t>
  </si>
  <si>
    <t>Oil &amp; Fats Industry</t>
  </si>
  <si>
    <t>Building Materials Industry</t>
  </si>
  <si>
    <t>Automobile Industry</t>
  </si>
  <si>
    <t>Transportation Industry</t>
  </si>
  <si>
    <t>************************************************</t>
  </si>
  <si>
    <t>Project Report prepared By:</t>
  </si>
  <si>
    <t>locally from Surrounding Villages of the mandal or nearby places of the unit</t>
  </si>
  <si>
    <t>****************************************</t>
  </si>
  <si>
    <t>Project Report is Prepared by "DHRUVA CORPORATE SERVICES (P) LTD.,"</t>
  </si>
  <si>
    <t>Hoarticulture Department</t>
  </si>
  <si>
    <t>National Horticulture Department</t>
  </si>
  <si>
    <t>Lease-Construct</t>
  </si>
  <si>
    <t>No- Civil works</t>
  </si>
  <si>
    <t>Application</t>
  </si>
  <si>
    <t>Project at a Glance</t>
  </si>
  <si>
    <t>Calculation of Term Loan Repayment / Interest Schedule.</t>
  </si>
  <si>
    <t>Projected Profitability Statement.</t>
  </si>
  <si>
    <t>Projected Cashflow &amp; Balance sheet</t>
  </si>
  <si>
    <t>1. LAND:</t>
  </si>
  <si>
    <t>Index</t>
  </si>
  <si>
    <t>PAGE NO's:</t>
  </si>
  <si>
    <r>
      <t>2. CURRENT LIABILITIES:</t>
    </r>
    <r>
      <rPr>
        <b/>
        <sz val="9"/>
        <color indexed="8"/>
        <rFont val="Arial"/>
        <family val="2"/>
      </rPr>
      <t>SUNDERY CREDITORS</t>
    </r>
  </si>
  <si>
    <t xml:space="preserve">     I. RAW MATERIALS</t>
  </si>
  <si>
    <t xml:space="preserve">     II.  STOCK IN PROCESS</t>
  </si>
  <si>
    <t xml:space="preserve">    III. FINISHED GOODS</t>
  </si>
  <si>
    <t xml:space="preserve">    V.  RECEIVABLES</t>
  </si>
  <si>
    <t>Per annum</t>
  </si>
  <si>
    <t>Per Day</t>
  </si>
  <si>
    <t>TOTAL GROSS EXPECTED REVENUE / REALISATION  DETAILS:</t>
  </si>
  <si>
    <t xml:space="preserve">Expected Services </t>
  </si>
  <si>
    <t>TOTAL EXPECTED REVENUE / RECEIPTS :(--&gt;</t>
  </si>
  <si>
    <t>Gross receipts/Turnover &amp; Economics</t>
  </si>
  <si>
    <t>UNIT ADDRESS:</t>
  </si>
  <si>
    <t>Similar units</t>
  </si>
  <si>
    <t>C</t>
  </si>
  <si>
    <t>Kgs</t>
  </si>
  <si>
    <t>Marketing</t>
  </si>
  <si>
    <t>508 001</t>
  </si>
  <si>
    <t>Aitipamula</t>
  </si>
  <si>
    <t>Narketpally</t>
  </si>
  <si>
    <t>Abdullapurmet</t>
  </si>
  <si>
    <t>Peddaamberpet</t>
  </si>
  <si>
    <t>Dilsuknatar</t>
  </si>
  <si>
    <t>Place of procurement</t>
  </si>
  <si>
    <t>Branch</t>
  </si>
  <si>
    <t>S.No</t>
  </si>
  <si>
    <t>Production Item Name</t>
  </si>
  <si>
    <t>Unit Measurement</t>
  </si>
  <si>
    <t>Product Used for</t>
  </si>
  <si>
    <t>Qty Required</t>
  </si>
  <si>
    <t>Unit Measure</t>
  </si>
  <si>
    <t>Per unit rate</t>
  </si>
  <si>
    <t>Units</t>
  </si>
  <si>
    <t>RAW MATERIALS   REQUIREMENT DETAILS</t>
  </si>
  <si>
    <t>Availability details</t>
  </si>
  <si>
    <t>VARIOUS   DETAILS  OF EXPENDITURE</t>
  </si>
  <si>
    <t>Consumables &amp; Stores</t>
  </si>
  <si>
    <t>Reparis to Buildings</t>
  </si>
  <si>
    <t>Repairs to Machinery</t>
  </si>
  <si>
    <t>Depreiciation rate</t>
  </si>
  <si>
    <t>Selling expendiutre</t>
  </si>
  <si>
    <t>Packing &amp; forwardings expenses</t>
  </si>
  <si>
    <t>Salaries</t>
  </si>
  <si>
    <t>Bank Loan: Repayment</t>
  </si>
  <si>
    <t>No of Years</t>
  </si>
  <si>
    <t>Rate of Interest</t>
  </si>
  <si>
    <t>CC Rate of Interest</t>
  </si>
  <si>
    <t>Adminstrative Expenses</t>
  </si>
  <si>
    <t>ASSETS / FIXED ASSETS</t>
  </si>
  <si>
    <t>UNITS</t>
  </si>
  <si>
    <t>Rate/Unit</t>
  </si>
  <si>
    <t>Cost (rs)</t>
  </si>
  <si>
    <t>Fixed Assest</t>
  </si>
  <si>
    <t>Working Capital Required</t>
  </si>
  <si>
    <t>Total Project Cost</t>
  </si>
  <si>
    <t>Own %</t>
  </si>
  <si>
    <t>Bank %</t>
  </si>
  <si>
    <t>7th</t>
  </si>
  <si>
    <t>PRODUCTION  DETAILS</t>
  </si>
  <si>
    <t>Taluq / Mandal</t>
  </si>
  <si>
    <t>CAPACITY  &amp; PRODUCTION DETAILS</t>
  </si>
  <si>
    <t>MEANS  OF  FINANCE</t>
  </si>
  <si>
    <t>3. PLANT  &amp; MACHINERY</t>
  </si>
  <si>
    <t>XX</t>
  </si>
  <si>
    <t>TTT</t>
  </si>
  <si>
    <t>AAA</t>
  </si>
  <si>
    <t>State</t>
  </si>
  <si>
    <t>Telangana</t>
  </si>
  <si>
    <t>PIN code</t>
  </si>
  <si>
    <t>State Bank of India</t>
  </si>
  <si>
    <t>Mudra Scheme</t>
  </si>
  <si>
    <t>Category (SC / ST / OC / BC)</t>
  </si>
  <si>
    <t>Woman / general</t>
  </si>
  <si>
    <t>Woman / Man</t>
  </si>
  <si>
    <t>SC</t>
  </si>
  <si>
    <t>MASALA / SPICES MAKING UNIT</t>
  </si>
  <si>
    <t>Shop No: 120 A, Hyderabad Road</t>
  </si>
  <si>
    <t>Sy.No: 199/a,  Near HP Petrol pump</t>
  </si>
  <si>
    <t>Loan under which applying</t>
  </si>
  <si>
    <t>30-05-1990</t>
  </si>
  <si>
    <t>B.Com</t>
  </si>
  <si>
    <t>DHANIA POWDER</t>
  </si>
  <si>
    <t>CHILLIES POWDER</t>
  </si>
  <si>
    <t>TURMARIC POWDER</t>
  </si>
  <si>
    <t>Used in making food items / curries</t>
  </si>
  <si>
    <t>RED CHILLES</t>
  </si>
  <si>
    <t>TRUMARIC KERNALS</t>
  </si>
  <si>
    <t>DHANIA SEEDS</t>
  </si>
  <si>
    <t xml:space="preserve">                                                                                                                                                                                                                                                                                                                                                                                                                                                                                                                                                                                                                                                                                                                                                                                                                                                                                                                                                                                                                                                                                                                                                                                                                                                                                                                                                                                                                                                                                                                                                                                                                                                                                                                                                                                                                                                                                                                                                                                                                                                                                                                                                                                                                                                                                                                                                                                                                                                                                                                                                                                                                                                                                                                                                                                                                                                                                                                                                                                                                                                                                                                                                                                                                                                                                                                                                                                                                                                                                                                                                                                                                                                                                                                                                                                                                                                                                                                                                                                                                                                                                                                                                                                                                                                                                                                                                                                                                                                                                                                                                                                                                                                                                                                                                                                                                                                                                                                                                                                                                                                                                                                                                                                                                                                                                                                                                                                                                                                                                                                                                                                                                                                                                                                                                                                                                                                                                                                                                                                                                                                                                                                                                                                                                                                                                                                                                                                                                                                                                                                                                                                                                                                                                                                                                                                                                                                                                                                                                                                                                                                                                                                                                                                                                                                                                                                                                                                                                                                                                                                                                                                                                                                                                                                                                                                                                                                                                                                                                                                                                                                                                                                                                                                                                                                                                                                                                                                                                                                                                                                                                                                                                                                                                                                                                                                                                                                                                                                                                                                                                                                                                                                                                                                                                                                                                                                                                                                                                                                                                                                                                                                                                                                                                                                                                                                                                                                                                                                                                                                                                                                                                                                                                                                                                                                                                                                                                                                                                                                                                                                                                                                                                                                                                                                                                                                                                                                                                                                                                                                                                                                                                                                                                                                                                                                                                                                                                                                                                                                                                                                                                                                                                                                                                                                                                                                                                                                                                                                                                                                                                                                                                                                                                                                                                                           </t>
  </si>
  <si>
    <t>No of Installments</t>
  </si>
  <si>
    <t>Designation of Bank Manager</t>
  </si>
  <si>
    <t>The Bank / Chief Manager/Asst General Manager</t>
  </si>
  <si>
    <t>YEAR ----&gt;&gt;&gt;</t>
  </si>
  <si>
    <t>TOTAL COST</t>
  </si>
  <si>
    <t>BEP</t>
  </si>
  <si>
    <t>Packing Machine</t>
  </si>
  <si>
    <t>Weighing Machine</t>
  </si>
  <si>
    <t>1. RAW MATERIALS::</t>
  </si>
  <si>
    <t>3. FINISHED  GOODS::</t>
  </si>
  <si>
    <t>4. RECEIVABLES:</t>
  </si>
  <si>
    <t xml:space="preserve">5. (-) CREDITORS        </t>
  </si>
  <si>
    <t>2. Processing Stocks</t>
  </si>
  <si>
    <t>S/o. Sudhakar</t>
  </si>
  <si>
    <t>Man Category</t>
  </si>
  <si>
    <t>SSC</t>
  </si>
  <si>
    <t>QUALIFICATION</t>
  </si>
  <si>
    <t>COST  OF  THE  PROJECT</t>
  </si>
  <si>
    <t>END</t>
  </si>
  <si>
    <t>CGTMSE Scheme</t>
  </si>
  <si>
    <t>Stand Up India Scheme</t>
  </si>
  <si>
    <t>Chief Manager</t>
  </si>
  <si>
    <t>Color  --&gt;</t>
  </si>
  <si>
    <t>don’t touch below</t>
  </si>
  <si>
    <t>PAN Card</t>
  </si>
  <si>
    <t>Aadhar Card No</t>
  </si>
  <si>
    <t>PAN  CARD</t>
  </si>
  <si>
    <t>AADHAR  CARD NO</t>
  </si>
  <si>
    <t>Mr. UTTAM  KRISHNAIH</t>
  </si>
  <si>
    <t>WOMAN / GENERAL CATEGORY</t>
  </si>
  <si>
    <r>
      <t xml:space="preserve"> under the guidence of  </t>
    </r>
    <r>
      <rPr>
        <b/>
        <sz val="11"/>
        <color theme="0"/>
        <rFont val="Arial"/>
        <family val="2"/>
      </rPr>
      <t>SHIVA  PRASAD ALAPARTHI,</t>
    </r>
    <r>
      <rPr>
        <b/>
        <sz val="10"/>
        <color theme="0"/>
        <rFont val="Arial"/>
        <family val="2"/>
      </rPr>
      <t xml:space="preserve"> </t>
    </r>
    <r>
      <rPr>
        <b/>
        <sz val="8"/>
        <color theme="0"/>
        <rFont val="Arial"/>
        <family val="2"/>
      </rPr>
      <t xml:space="preserve"> M.Com., F.C.A., A.I.C.W.A.,</t>
    </r>
  </si>
  <si>
    <r>
      <t xml:space="preserve">Address:# Flat No:503/1, Sri Sai Residency, opp.Khairatabad Library/Bada Ganesh, Adj.Ayyangari Bakery, Hyderabad-4, </t>
    </r>
    <r>
      <rPr>
        <b/>
        <sz val="9"/>
        <color theme="0"/>
        <rFont val="Arial"/>
        <family val="2"/>
      </rPr>
      <t>A.P.</t>
    </r>
    <r>
      <rPr>
        <b/>
        <sz val="10"/>
        <color theme="0"/>
        <rFont val="Arial"/>
        <family val="2"/>
      </rPr>
      <t xml:space="preserve"> Ph: 98496-99009 / 040-64522899.  e.mail: </t>
    </r>
    <r>
      <rPr>
        <b/>
        <sz val="12"/>
        <color theme="0"/>
        <rFont val="Arial"/>
        <family val="2"/>
      </rPr>
      <t xml:space="preserve"> pmegp@india.com,     ca.report@yahoo.com,  </t>
    </r>
  </si>
  <si>
    <t>AADHAR PPP QQQ 456</t>
  </si>
  <si>
    <t>PAN XYZ 1234</t>
  </si>
  <si>
    <t>&lt;- PER MONTH</t>
  </si>
  <si>
    <t>&lt;- PER DAY</t>
  </si>
  <si>
    <t>NOTE:  FILL  FOLLOWING  QUESTIONNAIRE   (GREEN  COLOR  CELLS  ONLY)</t>
  </si>
  <si>
    <t>Power cost per unit</t>
  </si>
  <si>
    <t>Power required in HP</t>
  </si>
  <si>
    <t>f.</t>
  </si>
  <si>
    <t>g.</t>
  </si>
  <si>
    <t>h.</t>
  </si>
  <si>
    <t>Sales Qty</t>
  </si>
  <si>
    <t>MACHINERY   NAME</t>
  </si>
  <si>
    <t>Unit Working days in a year</t>
  </si>
  <si>
    <t>Capacity per hour</t>
  </si>
  <si>
    <t>Turnover (Rs)</t>
  </si>
  <si>
    <t>B. SALARIES AND WAGES:</t>
  </si>
  <si>
    <t>C. TRANSPORTATION, FREIGHT &amp; UNLOADING of RAW MATERIALS:</t>
  </si>
  <si>
    <t>Per Month</t>
  </si>
  <si>
    <t>K.</t>
  </si>
  <si>
    <t>ASSESSMENT OF WORKING CAPITAL REQUIREMENTS:  Annexure - VI</t>
  </si>
  <si>
    <t>Proprietor (with prefix - Mr. / Mrs/MS)</t>
  </si>
  <si>
    <t>Sales:</t>
  </si>
  <si>
    <t>I / We Submit herewith a project proposal for sanction of Loan as per following details:</t>
  </si>
  <si>
    <t>Year --&gt;</t>
  </si>
  <si>
    <t>Production Qty --&gt;</t>
  </si>
  <si>
    <t>Capacity Utilisation --&gt;</t>
  </si>
  <si>
    <t>a) SALES (in lakhs)</t>
  </si>
  <si>
    <t>b) NET PROFIT</t>
  </si>
  <si>
    <t>c) TERM LOAN</t>
  </si>
  <si>
    <t>Projection Units</t>
  </si>
  <si>
    <t>Production Units</t>
  </si>
  <si>
    <t>Max CC</t>
  </si>
  <si>
    <t>25% of Sales</t>
  </si>
  <si>
    <t>Own</t>
  </si>
  <si>
    <t>Sales</t>
  </si>
  <si>
    <t>xxxx</t>
  </si>
  <si>
    <t>MTS</t>
  </si>
  <si>
    <t>QUINTALS</t>
  </si>
  <si>
    <t>GRAMS</t>
  </si>
  <si>
    <t>RRRR</t>
  </si>
  <si>
    <t>Communication Address : H.No, St.,</t>
  </si>
  <si>
    <t>Unit Address :: SY.No, area landmark:</t>
  </si>
  <si>
    <t>Legal Constitution</t>
  </si>
  <si>
    <t>No: Shifts / Day</t>
  </si>
  <si>
    <t>No: Hours / Shift</t>
  </si>
  <si>
    <t>Closing Cash Balance</t>
  </si>
  <si>
    <t>Profits</t>
  </si>
  <si>
    <t>1. Raw Material Used</t>
  </si>
  <si>
    <t xml:space="preserve"> Cost of Production</t>
  </si>
  <si>
    <t>Pulvariser / Grinder / Mixer with motars</t>
  </si>
  <si>
    <t>Total Machinery</t>
  </si>
  <si>
    <t>Grand total (Fixed Assets)</t>
  </si>
  <si>
    <t>No of Days</t>
  </si>
  <si>
    <t>6th       61</t>
  </si>
  <si>
    <t>Yr         62</t>
  </si>
  <si>
    <t>7th       73</t>
  </si>
  <si>
    <t>Yr         74</t>
  </si>
  <si>
    <t>5th       49</t>
  </si>
  <si>
    <t>Yr         50</t>
  </si>
  <si>
    <t>% in total</t>
  </si>
  <si>
    <t>% in source</t>
  </si>
  <si>
    <t>Available in Medak</t>
  </si>
  <si>
    <t>Available in nearby villages</t>
  </si>
  <si>
    <t>Available in Hyderabad</t>
  </si>
  <si>
    <t>to be imported</t>
  </si>
  <si>
    <t>Qty</t>
  </si>
  <si>
    <t>Rate</t>
  </si>
  <si>
    <t>email</t>
  </si>
  <si>
    <t>aaadnnnddd@gmail.com</t>
  </si>
  <si>
    <t>EMAIL</t>
  </si>
  <si>
    <t>MOBILE</t>
  </si>
  <si>
    <t xml:space="preserve">NAME OF THE  PRODUCTS             </t>
  </si>
  <si>
    <t>EXECUTIVE  SUMMERY / OVERALL   RESULTS</t>
  </si>
  <si>
    <t>Moratorium</t>
  </si>
  <si>
    <t>Repayment Years</t>
  </si>
  <si>
    <t>3 months</t>
  </si>
  <si>
    <t xml:space="preserve">Expected  Utilisation-&gt; (%) </t>
  </si>
  <si>
    <t xml:space="preserve">NO OF PERSONS EMPLOYED         </t>
  </si>
  <si>
    <t>PROJECTED     CASH   FLOW   STATEMENT:   (Annexure - IV)</t>
  </si>
  <si>
    <t>PROJECTED  BALANCE  SHEET  (Annexure - V  )</t>
  </si>
  <si>
    <t>1.  LAND COST -&gt;</t>
  </si>
  <si>
    <t>2. FACTORY / WORK SHED --&gt;</t>
  </si>
  <si>
    <t xml:space="preserve">Fiexed </t>
  </si>
  <si>
    <t>Variable</t>
  </si>
  <si>
    <t>SALARIES  &amp; WAGES - employment</t>
  </si>
  <si>
    <t>Fright / Transportion charges (Per Day)</t>
  </si>
  <si>
    <t>G.</t>
  </si>
  <si>
    <t xml:space="preserve"> Net Profit (G-H)</t>
  </si>
  <si>
    <t>2. FACTORY / WORK SHED</t>
  </si>
  <si>
    <t>SAI VENKATESWARA MASALA POWDERS</t>
  </si>
  <si>
    <t>Various masala / spices powders  like mirch, dhania, turmaric etc.,</t>
  </si>
  <si>
    <t>`</t>
  </si>
  <si>
    <t>d) CAPITAL  &amp; RESERVES</t>
  </si>
  <si>
    <t>F. DEPRECIATION:</t>
  </si>
  <si>
    <t>G. ADMINISTRATIVE &amp; OTHER EXPENSES:</t>
  </si>
  <si>
    <t>H. PACKING MATERIAL &amp; LOADING / FORWARDING COST:</t>
  </si>
  <si>
    <t>I. SELLING EXPENSES:</t>
  </si>
  <si>
    <t>J.   INTEREST ON WORKING CAPITAL:</t>
  </si>
  <si>
    <t>5. Packing Material</t>
  </si>
  <si>
    <t>6. Repairs &amp; Maintenance</t>
  </si>
  <si>
    <t>7. Depreciation</t>
  </si>
  <si>
    <t>Purchases</t>
  </si>
  <si>
    <t>TL installment</t>
  </si>
  <si>
    <t>Days</t>
  </si>
  <si>
    <t>Date</t>
  </si>
  <si>
    <t>LIST  OF  MACHINERY</t>
  </si>
  <si>
    <t>Cl cash</t>
  </si>
  <si>
    <t>i252/i261</t>
  </si>
  <si>
    <t>packing</t>
  </si>
  <si>
    <t>w.c.interest</t>
  </si>
  <si>
    <t>np</t>
  </si>
  <si>
    <t>l145/k145</t>
  </si>
  <si>
    <t>h128/i128</t>
  </si>
  <si>
    <t>h413</t>
  </si>
  <si>
    <t>j421</t>
  </si>
  <si>
    <t>k219/l219</t>
  </si>
  <si>
    <t>j276/k226k/l226</t>
  </si>
  <si>
    <t>j318/k318/l318</t>
  </si>
  <si>
    <t>j375/k375</t>
  </si>
  <si>
    <t>Working Capital Requirement &amp; B.E.P, DSCR</t>
  </si>
</sst>
</file>

<file path=xl/styles.xml><?xml version="1.0" encoding="utf-8"?>
<styleSheet xmlns="http://schemas.openxmlformats.org/spreadsheetml/2006/main">
  <numFmts count="6">
    <numFmt numFmtId="164" formatCode="_(* #,##0.00_);_(* \(#,##0.00\);_(* &quot;-&quot;??_);_(@_)"/>
    <numFmt numFmtId="165" formatCode="0_)"/>
    <numFmt numFmtId="166" formatCode="0.00_)"/>
    <numFmt numFmtId="167" formatCode="0.0_)"/>
    <numFmt numFmtId="168" formatCode="0.0"/>
    <numFmt numFmtId="169" formatCode="[$-409]d\-mmm\-yy;@"/>
  </numFmts>
  <fonts count="87">
    <font>
      <sz val="10"/>
      <name val="Arial"/>
    </font>
    <font>
      <sz val="10"/>
      <color theme="1"/>
      <name val="Calibri"/>
      <family val="2"/>
      <scheme val="minor"/>
    </font>
    <font>
      <sz val="10"/>
      <name val="Arial"/>
      <family val="2"/>
    </font>
    <font>
      <b/>
      <sz val="12"/>
      <color indexed="8"/>
      <name val="Arial"/>
      <family val="2"/>
    </font>
    <font>
      <b/>
      <sz val="12"/>
      <name val="Arial"/>
      <family val="2"/>
    </font>
    <font>
      <b/>
      <sz val="14"/>
      <color indexed="8"/>
      <name val="Arial"/>
      <family val="2"/>
    </font>
    <font>
      <b/>
      <sz val="12"/>
      <color indexed="8"/>
      <name val="Arial"/>
      <family val="2"/>
    </font>
    <font>
      <b/>
      <sz val="12"/>
      <color indexed="10"/>
      <name val="Arial"/>
      <family val="2"/>
    </font>
    <font>
      <b/>
      <sz val="12"/>
      <name val="Arial"/>
      <family val="2"/>
    </font>
    <font>
      <b/>
      <u/>
      <sz val="12"/>
      <color indexed="8"/>
      <name val="Arial"/>
      <family val="2"/>
    </font>
    <font>
      <sz val="12"/>
      <name val="Arial"/>
      <family val="2"/>
    </font>
    <font>
      <b/>
      <u/>
      <sz val="16"/>
      <color indexed="8"/>
      <name val="Arial"/>
      <family val="2"/>
    </font>
    <font>
      <b/>
      <sz val="16"/>
      <color indexed="8"/>
      <name val="Arial"/>
      <family val="2"/>
    </font>
    <font>
      <b/>
      <sz val="10"/>
      <name val="Arial"/>
      <family val="2"/>
    </font>
    <font>
      <b/>
      <sz val="11"/>
      <color indexed="8"/>
      <name val="Arial"/>
      <family val="2"/>
    </font>
    <font>
      <sz val="11"/>
      <name val="Arial"/>
      <family val="2"/>
    </font>
    <font>
      <b/>
      <sz val="11"/>
      <name val="Arial"/>
      <family val="2"/>
    </font>
    <font>
      <sz val="14"/>
      <name val="Arial"/>
      <family val="2"/>
    </font>
    <font>
      <b/>
      <sz val="10"/>
      <color indexed="8"/>
      <name val="Arial"/>
      <family val="2"/>
    </font>
    <font>
      <sz val="10"/>
      <name val="Arial"/>
      <family val="2"/>
    </font>
    <font>
      <b/>
      <sz val="9"/>
      <color indexed="8"/>
      <name val="Arial"/>
      <family val="2"/>
    </font>
    <font>
      <u/>
      <sz val="10"/>
      <color indexed="12"/>
      <name val="Arial"/>
      <family val="2"/>
    </font>
    <font>
      <b/>
      <i/>
      <sz val="12"/>
      <name val="Arial"/>
      <family val="2"/>
    </font>
    <font>
      <b/>
      <sz val="8"/>
      <color indexed="8"/>
      <name val="Arial"/>
      <family val="2"/>
    </font>
    <font>
      <sz val="9"/>
      <name val="Arial"/>
      <family val="2"/>
    </font>
    <font>
      <b/>
      <sz val="9"/>
      <name val="Arial"/>
      <family val="2"/>
    </font>
    <font>
      <b/>
      <u/>
      <sz val="11"/>
      <color indexed="8"/>
      <name val="Arial"/>
      <family val="2"/>
    </font>
    <font>
      <sz val="12"/>
      <color indexed="8"/>
      <name val="Arial"/>
      <family val="2"/>
    </font>
    <font>
      <sz val="14"/>
      <color indexed="8"/>
      <name val="Arial"/>
      <family val="2"/>
    </font>
    <font>
      <sz val="11"/>
      <color indexed="8"/>
      <name val="Arial"/>
      <family val="2"/>
    </font>
    <font>
      <b/>
      <sz val="18"/>
      <color indexed="8"/>
      <name val="Arial Narrow"/>
      <family val="2"/>
    </font>
    <font>
      <sz val="18"/>
      <name val="Arial Narrow"/>
      <family val="2"/>
    </font>
    <font>
      <b/>
      <sz val="12"/>
      <color indexed="8"/>
      <name val="Arial"/>
      <family val="2"/>
    </font>
    <font>
      <b/>
      <sz val="16"/>
      <color indexed="8"/>
      <name val="Mistral"/>
      <family val="4"/>
    </font>
    <font>
      <b/>
      <sz val="24"/>
      <name val="Arial"/>
      <family val="2"/>
    </font>
    <font>
      <b/>
      <sz val="8"/>
      <color indexed="8"/>
      <name val="Arial"/>
      <family val="2"/>
    </font>
    <font>
      <b/>
      <sz val="20"/>
      <name val="Arial"/>
      <family val="2"/>
    </font>
    <font>
      <b/>
      <sz val="7"/>
      <color indexed="8"/>
      <name val="Arial"/>
      <family val="2"/>
    </font>
    <font>
      <b/>
      <sz val="6"/>
      <color indexed="8"/>
      <name val="Arial"/>
      <family val="2"/>
    </font>
    <font>
      <b/>
      <sz val="22"/>
      <color indexed="8"/>
      <name val="Mistral"/>
      <family val="4"/>
    </font>
    <font>
      <b/>
      <u val="double"/>
      <sz val="16"/>
      <color indexed="8"/>
      <name val="Arial"/>
      <family val="2"/>
    </font>
    <font>
      <b/>
      <sz val="32"/>
      <name val="Arial"/>
      <family val="2"/>
    </font>
    <font>
      <sz val="7"/>
      <color indexed="8"/>
      <name val="Arial"/>
      <family val="2"/>
    </font>
    <font>
      <b/>
      <sz val="40"/>
      <name val="Arial"/>
      <family val="2"/>
    </font>
    <font>
      <b/>
      <sz val="18"/>
      <color indexed="8"/>
      <name val="ITC Zapf Chancery"/>
      <family val="4"/>
    </font>
    <font>
      <sz val="18"/>
      <name val="ITC Zapf Chancery"/>
      <family val="4"/>
    </font>
    <font>
      <sz val="8.5"/>
      <color indexed="8"/>
      <name val="Arial"/>
      <family val="2"/>
    </font>
    <font>
      <b/>
      <sz val="12"/>
      <color indexed="8"/>
      <name val="Comic Sans MS"/>
      <family val="4"/>
    </font>
    <font>
      <b/>
      <sz val="12"/>
      <color rgb="FFFF0000"/>
      <name val="Arial"/>
      <family val="2"/>
    </font>
    <font>
      <sz val="11"/>
      <color indexed="17"/>
      <name val="Arial"/>
      <family val="2"/>
    </font>
    <font>
      <b/>
      <sz val="12"/>
      <color rgb="FF0000FF"/>
      <name val="Arial"/>
      <family val="2"/>
    </font>
    <font>
      <sz val="10"/>
      <color rgb="FF0000FF"/>
      <name val="Arial"/>
      <family val="2"/>
    </font>
    <font>
      <b/>
      <sz val="9"/>
      <color rgb="FF0000FF"/>
      <name val="Arial"/>
      <family val="2"/>
    </font>
    <font>
      <b/>
      <sz val="11"/>
      <color rgb="FF0000FF"/>
      <name val="Arial"/>
      <family val="2"/>
    </font>
    <font>
      <b/>
      <sz val="10"/>
      <color rgb="FF0000FF"/>
      <name val="Arial"/>
      <family val="2"/>
    </font>
    <font>
      <b/>
      <sz val="12"/>
      <color theme="0"/>
      <name val="Arial"/>
      <family val="2"/>
    </font>
    <font>
      <sz val="10"/>
      <color theme="0"/>
      <name val="Arial"/>
      <family val="2"/>
    </font>
    <font>
      <b/>
      <sz val="9"/>
      <color theme="0"/>
      <name val="Arial"/>
      <family val="2"/>
    </font>
    <font>
      <b/>
      <sz val="10"/>
      <color theme="0"/>
      <name val="Arial"/>
      <family val="2"/>
    </font>
    <font>
      <sz val="8"/>
      <color theme="0"/>
      <name val="Arial"/>
      <family val="2"/>
    </font>
    <font>
      <sz val="11"/>
      <color theme="0"/>
      <name val="Arial"/>
      <family val="2"/>
    </font>
    <font>
      <sz val="9"/>
      <color theme="0"/>
      <name val="Arial"/>
      <family val="2"/>
    </font>
    <font>
      <b/>
      <sz val="8"/>
      <color theme="0"/>
      <name val="Arial"/>
      <family val="2"/>
    </font>
    <font>
      <b/>
      <sz val="11"/>
      <color theme="0"/>
      <name val="Arial"/>
      <family val="2"/>
    </font>
    <font>
      <b/>
      <u/>
      <sz val="14"/>
      <color theme="0"/>
      <name val="Arial"/>
      <family val="2"/>
    </font>
    <font>
      <sz val="12"/>
      <color theme="0"/>
      <name val="Arial"/>
      <family val="2"/>
    </font>
    <font>
      <sz val="7"/>
      <color theme="0"/>
      <name val="Arial"/>
      <family val="2"/>
    </font>
    <font>
      <u/>
      <sz val="8"/>
      <color theme="0"/>
      <name val="Arial"/>
      <family val="2"/>
    </font>
    <font>
      <b/>
      <u/>
      <sz val="8"/>
      <color theme="0"/>
      <name val="Arial"/>
      <family val="2"/>
    </font>
    <font>
      <b/>
      <sz val="10"/>
      <color rgb="FFFF0000"/>
      <name val="Arial"/>
      <family val="2"/>
    </font>
    <font>
      <b/>
      <sz val="10"/>
      <color rgb="FFF60000"/>
      <name val="Arial"/>
      <family val="2"/>
    </font>
    <font>
      <b/>
      <sz val="12"/>
      <color rgb="FFF60000"/>
      <name val="Arial"/>
      <family val="2"/>
    </font>
    <font>
      <b/>
      <sz val="11"/>
      <color theme="1"/>
      <name val="Arial"/>
      <family val="2"/>
    </font>
    <font>
      <sz val="11"/>
      <color theme="1"/>
      <name val="Arial"/>
      <family val="2"/>
    </font>
    <font>
      <b/>
      <i/>
      <sz val="11"/>
      <color indexed="8"/>
      <name val="Arial"/>
      <family val="2"/>
    </font>
    <font>
      <b/>
      <u/>
      <sz val="10"/>
      <color indexed="8"/>
      <name val="Arial"/>
      <family val="2"/>
    </font>
    <font>
      <sz val="10"/>
      <color indexed="8"/>
      <name val="Arial"/>
      <family val="2"/>
    </font>
    <font>
      <b/>
      <sz val="14"/>
      <color rgb="FFFF0000"/>
      <name val="Clarendon"/>
      <family val="1"/>
    </font>
    <font>
      <b/>
      <sz val="14"/>
      <color rgb="FFFF0000"/>
      <name val="Clarendon"/>
    </font>
    <font>
      <b/>
      <sz val="12"/>
      <color rgb="FFFF0000"/>
      <name val="Clarendon"/>
    </font>
    <font>
      <b/>
      <sz val="14"/>
      <color rgb="FFFF0000"/>
      <name val="Arial"/>
      <family val="2"/>
    </font>
    <font>
      <b/>
      <sz val="10"/>
      <color rgb="FFFF0000"/>
      <name val="Courier New"/>
      <family val="3"/>
    </font>
    <font>
      <sz val="5"/>
      <color theme="0"/>
      <name val="Arial"/>
      <family val="2"/>
    </font>
    <font>
      <sz val="2"/>
      <color theme="0"/>
      <name val="Arial"/>
      <family val="2"/>
    </font>
    <font>
      <sz val="2"/>
      <color theme="0"/>
      <name val="Calibri"/>
      <family val="2"/>
      <scheme val="minor"/>
    </font>
    <font>
      <sz val="2"/>
      <color theme="0"/>
      <name val="Segoe UI"/>
      <family val="2"/>
    </font>
    <font>
      <b/>
      <sz val="2"/>
      <color theme="0"/>
      <name val="Courier New"/>
      <family val="3"/>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CEF551"/>
        <bgColor indexed="64"/>
      </patternFill>
    </fill>
    <fill>
      <patternFill patternType="gray125">
        <bgColor indexed="9"/>
      </patternFill>
    </fill>
    <fill>
      <patternFill patternType="solid">
        <fgColor rgb="FFA4D76B"/>
        <bgColor indexed="64"/>
      </patternFill>
    </fill>
    <fill>
      <patternFill patternType="solid">
        <fgColor rgb="FFF9B47B"/>
        <bgColor indexed="64"/>
      </patternFill>
    </fill>
    <fill>
      <patternFill patternType="solid">
        <fgColor rgb="FFFFC819"/>
        <bgColor indexed="64"/>
      </patternFill>
    </fill>
    <fill>
      <patternFill patternType="solid">
        <fgColor rgb="FFFCFC88"/>
        <bgColor indexed="64"/>
      </patternFill>
    </fill>
    <fill>
      <patternFill patternType="solid">
        <fgColor rgb="FFF1FD7F"/>
        <bgColor indexed="64"/>
      </patternFill>
    </fill>
  </fills>
  <borders count="276">
    <border>
      <left/>
      <right/>
      <top/>
      <bottom/>
      <diagonal/>
    </border>
    <border>
      <left style="thin">
        <color indexed="64"/>
      </left>
      <right/>
      <top/>
      <bottom/>
      <diagonal/>
    </border>
    <border>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64"/>
      </right>
      <top/>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thin">
        <color indexed="8"/>
      </left>
      <right style="double">
        <color indexed="64"/>
      </right>
      <top/>
      <bottom/>
      <diagonal/>
    </border>
    <border>
      <left style="double">
        <color indexed="8"/>
      </left>
      <right style="thin">
        <color indexed="8"/>
      </right>
      <top/>
      <bottom/>
      <diagonal/>
    </border>
    <border>
      <left/>
      <right/>
      <top/>
      <bottom style="double">
        <color indexed="64"/>
      </bottom>
      <diagonal/>
    </border>
    <border>
      <left/>
      <right style="double">
        <color indexed="64"/>
      </right>
      <top/>
      <bottom style="double">
        <color indexed="64"/>
      </bottom>
      <diagonal/>
    </border>
    <border>
      <left/>
      <right style="thin">
        <color indexed="34"/>
      </right>
      <top/>
      <bottom/>
      <diagonal/>
    </border>
    <border>
      <left/>
      <right/>
      <top style="thin">
        <color indexed="64"/>
      </top>
      <bottom style="thin">
        <color indexed="64"/>
      </bottom>
      <diagonal/>
    </border>
    <border>
      <left style="double">
        <color indexed="64"/>
      </left>
      <right/>
      <top/>
      <bottom style="double">
        <color indexed="64"/>
      </bottom>
      <diagonal/>
    </border>
    <border>
      <left style="thin">
        <color indexed="8"/>
      </left>
      <right style="double">
        <color indexed="8"/>
      </right>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double">
        <color indexed="8"/>
      </right>
      <top/>
      <bottom style="thin">
        <color indexed="64"/>
      </bottom>
      <diagonal/>
    </border>
    <border>
      <left style="double">
        <color indexed="8"/>
      </left>
      <right style="thin">
        <color indexed="8"/>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medium">
        <color indexed="17"/>
      </left>
      <right/>
      <top/>
      <bottom/>
      <diagonal/>
    </border>
    <border>
      <left style="slantDashDot">
        <color indexed="64"/>
      </left>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64"/>
      </right>
      <top/>
      <bottom style="thin">
        <color indexed="8"/>
      </bottom>
      <diagonal/>
    </border>
    <border>
      <left/>
      <right/>
      <top style="thin">
        <color indexed="64"/>
      </top>
      <bottom/>
      <diagonal/>
    </border>
    <border>
      <left style="slantDashDot">
        <color indexed="64"/>
      </left>
      <right/>
      <top style="thin">
        <color indexed="64"/>
      </top>
      <bottom style="thin">
        <color indexed="64"/>
      </bottom>
      <diagonal/>
    </border>
    <border>
      <left/>
      <right style="slantDashDot">
        <color indexed="64"/>
      </right>
      <top style="thin">
        <color indexed="64"/>
      </top>
      <bottom style="thin">
        <color indexed="64"/>
      </bottom>
      <diagonal/>
    </border>
    <border>
      <left style="slantDashDot">
        <color indexed="64"/>
      </left>
      <right/>
      <top style="thin">
        <color indexed="64"/>
      </top>
      <bottom/>
      <diagonal/>
    </border>
    <border>
      <left/>
      <right style="slantDashDot">
        <color indexed="64"/>
      </right>
      <top style="thin">
        <color indexed="64"/>
      </top>
      <bottom/>
      <diagonal/>
    </border>
    <border>
      <left/>
      <right style="slantDashDot">
        <color indexed="64"/>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thin">
        <color auto="1"/>
      </bottom>
      <diagonal/>
    </border>
    <border>
      <left style="thin">
        <color auto="1"/>
      </left>
      <right/>
      <top/>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thin">
        <color indexed="64"/>
      </top>
      <bottom style="thin">
        <color indexed="64"/>
      </bottom>
      <diagonal/>
    </border>
    <border>
      <left style="slantDashDot">
        <color indexed="64"/>
      </left>
      <right/>
      <top style="thin">
        <color indexed="8"/>
      </top>
      <bottom style="slantDashDot">
        <color indexed="64"/>
      </bottom>
      <diagonal/>
    </border>
    <border>
      <left/>
      <right/>
      <top style="thin">
        <color indexed="8"/>
      </top>
      <bottom style="slantDashDot">
        <color indexed="64"/>
      </bottom>
      <diagonal/>
    </border>
    <border>
      <left/>
      <right style="slantDashDot">
        <color indexed="64"/>
      </right>
      <top style="thin">
        <color indexed="8"/>
      </top>
      <bottom style="slantDashDot">
        <color indexed="64"/>
      </bottom>
      <diagonal/>
    </border>
    <border>
      <left style="thin">
        <color indexed="64"/>
      </left>
      <right/>
      <top style="thin">
        <color indexed="64"/>
      </top>
      <bottom/>
      <diagonal/>
    </border>
    <border>
      <left/>
      <right/>
      <top style="thin">
        <color indexed="64"/>
      </top>
      <bottom/>
      <diagonal/>
    </border>
    <border>
      <left style="hair">
        <color auto="1"/>
      </left>
      <right style="hair">
        <color auto="1"/>
      </right>
      <top style="hair">
        <color auto="1"/>
      </top>
      <bottom/>
      <diagonal/>
    </border>
    <border>
      <left style="hair">
        <color auto="1"/>
      </left>
      <right style="hair">
        <color auto="1"/>
      </right>
      <top style="thin">
        <color auto="1"/>
      </top>
      <bottom style="thin">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style="hair">
        <color auto="1"/>
      </top>
      <bottom/>
      <diagonal/>
    </border>
    <border>
      <left style="hair">
        <color auto="1"/>
      </left>
      <right style="double">
        <color auto="1"/>
      </right>
      <top style="hair">
        <color auto="1"/>
      </top>
      <bottom/>
      <diagonal/>
    </border>
    <border>
      <left/>
      <right style="double">
        <color auto="1"/>
      </right>
      <top style="hair">
        <color auto="1"/>
      </top>
      <bottom style="hair">
        <color auto="1"/>
      </bottom>
      <diagonal/>
    </border>
    <border>
      <left/>
      <right style="double">
        <color auto="1"/>
      </right>
      <top style="hair">
        <color auto="1"/>
      </top>
      <bottom style="double">
        <color auto="1"/>
      </bottom>
      <diagonal/>
    </border>
    <border>
      <left style="double">
        <color auto="1"/>
      </left>
      <right style="hair">
        <color auto="1"/>
      </right>
      <top style="dashed">
        <color auto="1"/>
      </top>
      <bottom style="hair">
        <color auto="1"/>
      </bottom>
      <diagonal/>
    </border>
    <border>
      <left style="hair">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hair">
        <color auto="1"/>
      </left>
      <right style="dashed">
        <color auto="1"/>
      </right>
      <top style="hair">
        <color auto="1"/>
      </top>
      <bottom style="double">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double">
        <color auto="1"/>
      </left>
      <right/>
      <top style="hair">
        <color auto="1"/>
      </top>
      <bottom style="dashed">
        <color auto="1"/>
      </bottom>
      <diagonal/>
    </border>
    <border>
      <left/>
      <right/>
      <top style="hair">
        <color auto="1"/>
      </top>
      <bottom style="dashed">
        <color auto="1"/>
      </bottom>
      <diagonal/>
    </border>
    <border>
      <left/>
      <right style="hair">
        <color auto="1"/>
      </right>
      <top style="hair">
        <color auto="1"/>
      </top>
      <bottom style="dashed">
        <color auto="1"/>
      </bottom>
      <diagonal/>
    </border>
    <border>
      <left style="double">
        <color auto="1"/>
      </left>
      <right/>
      <top style="hair">
        <color auto="1"/>
      </top>
      <bottom style="hair">
        <color auto="1"/>
      </bottom>
      <diagonal/>
    </border>
    <border>
      <left/>
      <right style="double">
        <color indexed="64"/>
      </right>
      <top style="double">
        <color indexed="64"/>
      </top>
      <bottom style="thin">
        <color indexed="64"/>
      </bottom>
      <diagonal/>
    </border>
    <border>
      <left/>
      <right style="thin">
        <color indexed="64"/>
      </right>
      <top style="thin">
        <color indexed="64"/>
      </top>
      <bottom/>
      <diagonal/>
    </border>
    <border>
      <left style="thin">
        <color indexed="8"/>
      </left>
      <right style="thin">
        <color indexed="8"/>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8"/>
      </top>
      <bottom/>
      <diagonal/>
    </border>
    <border>
      <left style="double">
        <color indexed="8"/>
      </left>
      <right style="thin">
        <color indexed="8"/>
      </right>
      <top/>
      <bottom style="thin">
        <color indexed="8"/>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8"/>
      </right>
      <top style="thin">
        <color indexed="64"/>
      </top>
      <bottom style="thin">
        <color indexed="64"/>
      </bottom>
      <diagonal/>
    </border>
    <border>
      <left style="double">
        <color indexed="8"/>
      </left>
      <right/>
      <top style="thin">
        <color indexed="64"/>
      </top>
      <bottom style="thin">
        <color indexed="64"/>
      </bottom>
      <diagonal/>
    </border>
    <border>
      <left style="double">
        <color indexed="8"/>
      </left>
      <right style="double">
        <color indexed="64"/>
      </right>
      <top/>
      <bottom/>
      <diagonal/>
    </border>
    <border>
      <left style="double">
        <color indexed="8"/>
      </left>
      <right style="double">
        <color indexed="64"/>
      </right>
      <top style="thin">
        <color indexed="64"/>
      </top>
      <bottom/>
      <diagonal/>
    </border>
    <border>
      <left style="double">
        <color indexed="8"/>
      </left>
      <right/>
      <top/>
      <bottom style="double">
        <color indexed="64"/>
      </bottom>
      <diagonal/>
    </border>
    <border>
      <left/>
      <right style="thin">
        <color indexed="8"/>
      </right>
      <top/>
      <bottom style="double">
        <color indexed="64"/>
      </bottom>
      <diagonal/>
    </border>
    <border>
      <left style="thin">
        <color indexed="8"/>
      </left>
      <right style="double">
        <color indexed="8"/>
      </right>
      <top/>
      <bottom style="double">
        <color indexed="64"/>
      </bottom>
      <diagonal/>
    </border>
    <border>
      <left style="double">
        <color indexed="8"/>
      </left>
      <right style="double">
        <color indexed="64"/>
      </right>
      <top/>
      <bottom style="double">
        <color indexed="64"/>
      </bottom>
      <diagonal/>
    </border>
    <border>
      <left style="double">
        <color indexed="64"/>
      </left>
      <right style="hair">
        <color auto="1"/>
      </right>
      <top style="double">
        <color indexed="64"/>
      </top>
      <bottom style="thin">
        <color auto="1"/>
      </bottom>
      <diagonal/>
    </border>
    <border>
      <left style="hair">
        <color auto="1"/>
      </left>
      <right style="hair">
        <color auto="1"/>
      </right>
      <top style="double">
        <color indexed="64"/>
      </top>
      <bottom style="thin">
        <color auto="1"/>
      </bottom>
      <diagonal/>
    </border>
    <border>
      <left style="hair">
        <color auto="1"/>
      </left>
      <right style="double">
        <color indexed="64"/>
      </right>
      <top style="double">
        <color indexed="64"/>
      </top>
      <bottom style="thin">
        <color auto="1"/>
      </bottom>
      <diagonal/>
    </border>
    <border>
      <left style="double">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indexed="64"/>
      </right>
      <top style="thin">
        <color auto="1"/>
      </top>
      <bottom style="hair">
        <color auto="1"/>
      </bottom>
      <diagonal/>
    </border>
    <border>
      <left style="double">
        <color indexed="64"/>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double">
        <color indexed="64"/>
      </left>
      <right style="hair">
        <color auto="1"/>
      </right>
      <top style="thin">
        <color auto="1"/>
      </top>
      <bottom style="thin">
        <color auto="1"/>
      </bottom>
      <diagonal/>
    </border>
    <border>
      <left style="hair">
        <color auto="1"/>
      </left>
      <right style="double">
        <color indexed="64"/>
      </right>
      <top style="thin">
        <color auto="1"/>
      </top>
      <bottom style="thin">
        <color auto="1"/>
      </bottom>
      <diagonal/>
    </border>
    <border>
      <left style="double">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indexed="64"/>
      </right>
      <top style="thin">
        <color auto="1"/>
      </top>
      <bottom style="hair">
        <color auto="1"/>
      </bottom>
      <diagonal/>
    </border>
    <border>
      <left style="hair">
        <color auto="1"/>
      </left>
      <right style="hair">
        <color auto="1"/>
      </right>
      <top style="thin">
        <color auto="1"/>
      </top>
      <bottom style="thin">
        <color auto="1"/>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double">
        <color indexed="64"/>
      </right>
      <top style="thin">
        <color auto="1"/>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8"/>
      </top>
      <bottom style="double">
        <color indexed="8"/>
      </bottom>
      <diagonal/>
    </border>
    <border>
      <left style="hair">
        <color indexed="64"/>
      </left>
      <right style="hair">
        <color indexed="64"/>
      </right>
      <top style="thin">
        <color indexed="8"/>
      </top>
      <bottom style="double">
        <color indexed="8"/>
      </bottom>
      <diagonal/>
    </border>
    <border>
      <left style="hair">
        <color indexed="64"/>
      </left>
      <right style="double">
        <color indexed="64"/>
      </right>
      <top style="thin">
        <color indexed="8"/>
      </top>
      <bottom style="double">
        <color indexed="8"/>
      </bottom>
      <diagonal/>
    </border>
    <border>
      <left style="hair">
        <color indexed="64"/>
      </left>
      <right style="hair">
        <color indexed="64"/>
      </right>
      <top style="double">
        <color indexed="8"/>
      </top>
      <bottom/>
      <diagonal/>
    </border>
    <border>
      <left style="double">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double">
        <color indexed="64"/>
      </right>
      <top style="thin">
        <color indexed="8"/>
      </top>
      <bottom/>
      <diagonal/>
    </border>
    <border>
      <left style="double">
        <color indexed="64"/>
      </left>
      <right style="hair">
        <color indexed="64"/>
      </right>
      <top style="thin">
        <color indexed="8"/>
      </top>
      <bottom style="double">
        <color indexed="64"/>
      </bottom>
      <diagonal/>
    </border>
    <border>
      <left style="hair">
        <color indexed="64"/>
      </left>
      <right style="hair">
        <color indexed="64"/>
      </right>
      <top style="thin">
        <color indexed="8"/>
      </top>
      <bottom style="double">
        <color indexed="64"/>
      </bottom>
      <diagonal/>
    </border>
    <border>
      <left style="hair">
        <color indexed="64"/>
      </left>
      <right style="double">
        <color indexed="64"/>
      </right>
      <top style="thin">
        <color indexed="8"/>
      </top>
      <bottom style="double">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style="hair">
        <color auto="1"/>
      </right>
      <top style="hair">
        <color auto="1"/>
      </top>
      <bottom style="double">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hair">
        <color auto="1"/>
      </left>
      <right style="double">
        <color auto="1"/>
      </right>
      <top/>
      <bottom style="hair">
        <color auto="1"/>
      </bottom>
      <diagonal/>
    </border>
    <border>
      <left style="double">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double">
        <color indexed="64"/>
      </bottom>
      <diagonal/>
    </border>
    <border>
      <left style="thin">
        <color auto="1"/>
      </left>
      <right/>
      <top style="hair">
        <color auto="1"/>
      </top>
      <bottom style="double">
        <color indexed="64"/>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double">
        <color auto="1"/>
      </right>
      <top style="double">
        <color auto="1"/>
      </top>
      <bottom style="hair">
        <color auto="1"/>
      </bottom>
      <diagonal/>
    </border>
    <border>
      <left style="thin">
        <color indexed="64"/>
      </left>
      <right style="double">
        <color indexed="64"/>
      </right>
      <top style="double">
        <color indexed="64"/>
      </top>
      <bottom/>
      <diagonal/>
    </border>
    <border>
      <left style="thin">
        <color auto="1"/>
      </left>
      <right/>
      <top style="double">
        <color auto="1"/>
      </top>
      <bottom style="hair">
        <color auto="1"/>
      </bottom>
      <diagonal/>
    </border>
    <border>
      <left style="hair">
        <color auto="1"/>
      </left>
      <right style="hair">
        <color auto="1"/>
      </right>
      <top style="double">
        <color auto="1"/>
      </top>
      <bottom style="thin">
        <color auto="1"/>
      </bottom>
      <diagonal/>
    </border>
    <border>
      <left style="hair">
        <color auto="1"/>
      </left>
      <right style="double">
        <color auto="1"/>
      </right>
      <top style="double">
        <color auto="1"/>
      </top>
      <bottom style="thin">
        <color auto="1"/>
      </bottom>
      <diagonal/>
    </border>
    <border>
      <left style="double">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right style="hair">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hair">
        <color auto="1"/>
      </right>
      <top style="double">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diagonal/>
    </border>
    <border>
      <left/>
      <right style="hair">
        <color auto="1"/>
      </right>
      <top/>
      <bottom/>
      <diagonal/>
    </border>
    <border>
      <left style="hair">
        <color auto="1"/>
      </left>
      <right/>
      <top style="hair">
        <color auto="1"/>
      </top>
      <bottom style="double">
        <color auto="1"/>
      </bottom>
      <diagonal/>
    </border>
    <border>
      <left style="hair">
        <color indexed="64"/>
      </left>
      <right/>
      <top style="double">
        <color indexed="64"/>
      </top>
      <bottom style="hair">
        <color indexed="64"/>
      </bottom>
      <diagonal/>
    </border>
    <border>
      <left/>
      <right style="hair">
        <color indexed="64"/>
      </right>
      <top style="double">
        <color auto="1"/>
      </top>
      <bottom style="hair">
        <color indexed="64"/>
      </bottom>
      <diagonal/>
    </border>
    <border>
      <left style="double">
        <color auto="1"/>
      </left>
      <right/>
      <top style="hair">
        <color auto="1"/>
      </top>
      <bottom/>
      <diagonal/>
    </border>
    <border>
      <left/>
      <right style="hair">
        <color auto="1"/>
      </right>
      <top style="hair">
        <color auto="1"/>
      </top>
      <bottom/>
      <diagonal/>
    </border>
    <border>
      <left style="double">
        <color auto="1"/>
      </left>
      <right/>
      <top/>
      <bottom style="hair">
        <color auto="1"/>
      </bottom>
      <diagonal/>
    </border>
    <border>
      <left/>
      <right/>
      <top/>
      <bottom style="hair">
        <color auto="1"/>
      </bottom>
      <diagonal/>
    </border>
    <border>
      <left/>
      <right style="hair">
        <color auto="1"/>
      </right>
      <top/>
      <bottom style="hair">
        <color auto="1"/>
      </bottom>
      <diagonal/>
    </border>
    <border>
      <left style="double">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thin">
        <color auto="1"/>
      </top>
      <bottom style="hair">
        <color auto="1"/>
      </bottom>
      <diagonal/>
    </border>
    <border>
      <left/>
      <right style="thin">
        <color auto="1"/>
      </right>
      <top style="hair">
        <color auto="1"/>
      </top>
      <bottom/>
      <diagonal/>
    </border>
    <border>
      <left/>
      <right style="double">
        <color auto="1"/>
      </right>
      <top style="hair">
        <color auto="1"/>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right/>
      <top style="double">
        <color indexed="64"/>
      </top>
      <bottom style="double">
        <color auto="1"/>
      </bottom>
      <diagonal/>
    </border>
    <border>
      <left/>
      <right/>
      <top/>
      <bottom style="double">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bottom style="double">
        <color auto="1"/>
      </bottom>
      <diagonal/>
    </border>
    <border>
      <left style="hair">
        <color auto="1"/>
      </left>
      <right style="hair">
        <color auto="1"/>
      </right>
      <top/>
      <bottom style="double">
        <color auto="1"/>
      </bottom>
      <diagonal/>
    </border>
    <border>
      <left style="hair">
        <color indexed="64"/>
      </left>
      <right style="thin">
        <color indexed="64"/>
      </right>
      <top/>
      <bottom style="double">
        <color auto="1"/>
      </bottom>
      <diagonal/>
    </border>
    <border>
      <left/>
      <right style="hair">
        <color auto="1"/>
      </right>
      <top/>
      <bottom style="double">
        <color auto="1"/>
      </bottom>
      <diagonal/>
    </border>
    <border>
      <left style="hair">
        <color auto="1"/>
      </left>
      <right style="double">
        <color auto="1"/>
      </right>
      <top/>
      <bottom style="double">
        <color auto="1"/>
      </bottom>
      <diagonal/>
    </border>
    <border>
      <left/>
      <right/>
      <top style="thin">
        <color indexed="64"/>
      </top>
      <bottom/>
      <diagonal/>
    </border>
    <border>
      <left style="double">
        <color indexed="64"/>
      </left>
      <right style="hair">
        <color indexed="64"/>
      </right>
      <top/>
      <bottom style="double">
        <color indexed="64"/>
      </bottom>
      <diagonal/>
    </border>
    <border>
      <left style="hair">
        <color auto="1"/>
      </left>
      <right style="double">
        <color auto="1"/>
      </right>
      <top style="thin">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thin">
        <color indexed="8"/>
      </bottom>
      <diagonal/>
    </border>
    <border>
      <left style="double">
        <color auto="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auto="1"/>
      </right>
      <top style="thin">
        <color indexed="8"/>
      </top>
      <bottom style="thin">
        <color indexed="8"/>
      </bottom>
      <diagonal/>
    </border>
    <border>
      <left style="thin">
        <color indexed="8"/>
      </left>
      <right style="double">
        <color auto="1"/>
      </right>
      <top style="thin">
        <color indexed="8"/>
      </top>
      <bottom/>
      <diagonal/>
    </border>
    <border>
      <left style="thin">
        <color indexed="8"/>
      </left>
      <right style="double">
        <color auto="1"/>
      </right>
      <top style="thin">
        <color indexed="8"/>
      </top>
      <bottom style="thin">
        <color indexed="64"/>
      </bottom>
      <diagonal/>
    </border>
    <border>
      <left style="double">
        <color auto="1"/>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double">
        <color auto="1"/>
      </left>
      <right/>
      <top style="thin">
        <color indexed="64"/>
      </top>
      <bottom/>
      <diagonal/>
    </border>
    <border>
      <left/>
      <right/>
      <top style="thin">
        <color indexed="64"/>
      </top>
      <bottom/>
      <diagonal/>
    </border>
    <border>
      <left/>
      <right style="hair">
        <color auto="1"/>
      </right>
      <top style="thin">
        <color indexed="64"/>
      </top>
      <bottom/>
      <diagonal/>
    </border>
    <border>
      <left style="double">
        <color auto="1"/>
      </left>
      <right/>
      <top/>
      <bottom style="thin">
        <color auto="1"/>
      </bottom>
      <diagonal/>
    </border>
    <border>
      <left/>
      <right style="hair">
        <color auto="1"/>
      </right>
      <top/>
      <bottom style="thin">
        <color auto="1"/>
      </bottom>
      <diagonal/>
    </border>
    <border>
      <left style="double">
        <color auto="1"/>
      </left>
      <right style="hair">
        <color auto="1"/>
      </right>
      <top/>
      <bottom style="hair">
        <color auto="1"/>
      </bottom>
      <diagonal/>
    </border>
    <border>
      <left style="double">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double">
        <color auto="1"/>
      </right>
      <top style="thin">
        <color auto="1"/>
      </top>
      <bottom/>
      <diagonal/>
    </border>
    <border>
      <left style="double">
        <color auto="1"/>
      </left>
      <right style="hair">
        <color auto="1"/>
      </right>
      <top/>
      <bottom/>
      <diagonal/>
    </border>
    <border>
      <left style="double">
        <color indexed="64"/>
      </left>
      <right style="thin">
        <color indexed="64"/>
      </right>
      <top/>
      <bottom/>
      <diagonal/>
    </border>
    <border>
      <left style="hair">
        <color auto="1"/>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slantDashDot">
        <color indexed="64"/>
      </left>
      <right/>
      <top style="thin">
        <color indexed="64"/>
      </top>
      <bottom/>
      <diagonal/>
    </border>
    <border>
      <left/>
      <right style="slantDashDot">
        <color indexed="64"/>
      </right>
      <top style="thin">
        <color indexed="64"/>
      </top>
      <bottom/>
      <diagonal/>
    </border>
    <border>
      <left/>
      <right style="slantDashDot">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8"/>
      </bottom>
      <diagonal/>
    </border>
    <border>
      <left style="double">
        <color indexed="64"/>
      </left>
      <right/>
      <top style="thin">
        <color indexed="8"/>
      </top>
      <bottom style="double">
        <color indexed="64"/>
      </bottom>
      <diagonal/>
    </border>
    <border>
      <left/>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double">
        <color indexed="64"/>
      </right>
      <top style="thin">
        <color indexed="8"/>
      </top>
      <bottom style="double">
        <color indexed="64"/>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64"/>
      </right>
      <top/>
      <bottom style="thin">
        <color indexed="8"/>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hair">
        <color auto="1"/>
      </right>
      <top style="thin">
        <color auto="1"/>
      </top>
      <bottom style="double">
        <color indexed="64"/>
      </bottom>
      <diagonal/>
    </border>
    <border>
      <left style="thin">
        <color indexed="64"/>
      </left>
      <right/>
      <top style="thin">
        <color indexed="64"/>
      </top>
      <bottom style="double">
        <color indexed="64"/>
      </bottom>
      <diagonal/>
    </border>
    <border>
      <left style="double">
        <color indexed="64"/>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top style="thin">
        <color indexed="64"/>
      </top>
      <bottom style="thin">
        <color auto="1"/>
      </bottom>
      <diagonal/>
    </border>
    <border>
      <left/>
      <right style="hair">
        <color auto="1"/>
      </right>
      <top style="thin">
        <color auto="1"/>
      </top>
      <bottom style="thin">
        <color auto="1"/>
      </bottom>
      <diagonal/>
    </border>
  </borders>
  <cellStyleXfs count="6">
    <xf numFmtId="0" fontId="0" fillId="0" borderId="0"/>
    <xf numFmtId="164" fontId="2" fillId="0" borderId="0" applyFont="0" applyFill="0" applyBorder="0" applyAlignment="0" applyProtection="0"/>
    <xf numFmtId="0" fontId="21" fillId="0" borderId="0" applyNumberFormat="0" applyFill="0" applyBorder="0" applyAlignment="0" applyProtection="0">
      <alignment vertical="top"/>
      <protection locked="0"/>
    </xf>
    <xf numFmtId="0" fontId="19" fillId="0" borderId="0"/>
    <xf numFmtId="9" fontId="2" fillId="0" borderId="0" applyFont="0" applyFill="0" applyBorder="0" applyAlignment="0" applyProtection="0"/>
    <xf numFmtId="0" fontId="1" fillId="0" borderId="0"/>
  </cellStyleXfs>
  <cellXfs count="1512">
    <xf numFmtId="0" fontId="0" fillId="0" borderId="0" xfId="0"/>
    <xf numFmtId="165" fontId="3" fillId="0" borderId="0" xfId="0" applyNumberFormat="1" applyFont="1" applyProtection="1"/>
    <xf numFmtId="0" fontId="4" fillId="0" borderId="0" xfId="0" applyFont="1"/>
    <xf numFmtId="0" fontId="6" fillId="0" borderId="0" xfId="0" applyFont="1" applyBorder="1"/>
    <xf numFmtId="165" fontId="3" fillId="0" borderId="0" xfId="0" applyNumberFormat="1" applyFont="1" applyBorder="1" applyProtection="1"/>
    <xf numFmtId="165" fontId="3" fillId="0" borderId="0" xfId="0" applyNumberFormat="1" applyFont="1" applyBorder="1" applyAlignment="1" applyProtection="1">
      <alignment horizontal="center"/>
    </xf>
    <xf numFmtId="0" fontId="0" fillId="0" borderId="0" xfId="0" applyBorder="1"/>
    <xf numFmtId="166" fontId="3" fillId="0" borderId="0" xfId="0" applyNumberFormat="1" applyFont="1" applyBorder="1" applyProtection="1"/>
    <xf numFmtId="165" fontId="6" fillId="0" borderId="0" xfId="0" applyNumberFormat="1" applyFont="1" applyBorder="1" applyProtection="1"/>
    <xf numFmtId="165" fontId="9" fillId="0" borderId="0" xfId="0" applyNumberFormat="1" applyFont="1" applyBorder="1" applyProtection="1"/>
    <xf numFmtId="0" fontId="4" fillId="0" borderId="0" xfId="0" applyFont="1" applyBorder="1"/>
    <xf numFmtId="165" fontId="3" fillId="0" borderId="3" xfId="0" applyNumberFormat="1" applyFont="1" applyBorder="1" applyProtection="1"/>
    <xf numFmtId="165" fontId="3" fillId="0" borderId="7" xfId="0" applyNumberFormat="1" applyFont="1" applyBorder="1" applyProtection="1"/>
    <xf numFmtId="1" fontId="3" fillId="0" borderId="0" xfId="0" applyNumberFormat="1" applyFont="1" applyBorder="1" applyProtection="1"/>
    <xf numFmtId="167" fontId="3" fillId="0" borderId="0" xfId="0" applyNumberFormat="1" applyFont="1" applyBorder="1" applyProtection="1"/>
    <xf numFmtId="165" fontId="3" fillId="0" borderId="0" xfId="0" quotePrefix="1" applyNumberFormat="1" applyFont="1" applyBorder="1" applyProtection="1"/>
    <xf numFmtId="0" fontId="19" fillId="0" borderId="0" xfId="0" applyFont="1" applyBorder="1"/>
    <xf numFmtId="165" fontId="3" fillId="0" borderId="0" xfId="0" applyNumberFormat="1" applyFont="1" applyBorder="1" applyAlignment="1" applyProtection="1">
      <alignment horizontal="fill"/>
    </xf>
    <xf numFmtId="0" fontId="0" fillId="0" borderId="0" xfId="0" applyBorder="1" applyAlignment="1">
      <alignment horizontal="center"/>
    </xf>
    <xf numFmtId="0" fontId="0" fillId="0" borderId="0" xfId="0" applyBorder="1" applyAlignment="1"/>
    <xf numFmtId="0" fontId="3" fillId="0" borderId="0" xfId="0" applyFont="1" applyBorder="1"/>
    <xf numFmtId="165" fontId="14" fillId="0" borderId="0" xfId="0" applyNumberFormat="1" applyFont="1" applyBorder="1" applyProtection="1"/>
    <xf numFmtId="0" fontId="8" fillId="0" borderId="0" xfId="0" applyFont="1" applyBorder="1"/>
    <xf numFmtId="0" fontId="6" fillId="0" borderId="0" xfId="0" quotePrefix="1" applyFont="1" applyBorder="1"/>
    <xf numFmtId="165" fontId="3" fillId="0" borderId="11" xfId="0" applyNumberFormat="1" applyFont="1" applyBorder="1" applyProtection="1"/>
    <xf numFmtId="165" fontId="14" fillId="0" borderId="11" xfId="0" applyNumberFormat="1" applyFont="1" applyBorder="1" applyProtection="1"/>
    <xf numFmtId="165" fontId="3" fillId="0" borderId="0" xfId="0" applyNumberFormat="1" applyFont="1" applyBorder="1" applyAlignment="1" applyProtection="1">
      <alignment shrinkToFit="1"/>
    </xf>
    <xf numFmtId="165" fontId="8" fillId="0" borderId="0" xfId="0" applyNumberFormat="1" applyFont="1" applyBorder="1" applyAlignment="1">
      <alignment horizontal="center"/>
    </xf>
    <xf numFmtId="1" fontId="3" fillId="0" borderId="4" xfId="0" applyNumberFormat="1" applyFont="1" applyBorder="1" applyAlignment="1" applyProtection="1">
      <alignment shrinkToFit="1"/>
    </xf>
    <xf numFmtId="1" fontId="3" fillId="0" borderId="0" xfId="0" applyNumberFormat="1" applyFont="1" applyBorder="1" applyAlignment="1" applyProtection="1">
      <alignment shrinkToFit="1"/>
    </xf>
    <xf numFmtId="165" fontId="3" fillId="0" borderId="0" xfId="0" applyNumberFormat="1" applyFont="1" applyBorder="1" applyAlignment="1" applyProtection="1">
      <alignment horizontal="right" shrinkToFit="1"/>
    </xf>
    <xf numFmtId="165" fontId="3" fillId="0" borderId="0" xfId="0" applyNumberFormat="1" applyFont="1" applyFill="1" applyBorder="1" applyProtection="1"/>
    <xf numFmtId="165" fontId="23" fillId="0" borderId="0" xfId="0" applyNumberFormat="1" applyFont="1" applyBorder="1" applyProtection="1"/>
    <xf numFmtId="1" fontId="23" fillId="0" borderId="0" xfId="0" applyNumberFormat="1" applyFont="1" applyBorder="1" applyProtection="1"/>
    <xf numFmtId="0" fontId="0" fillId="0" borderId="0" xfId="0" applyBorder="1" applyAlignment="1">
      <alignment vertical="justify" wrapText="1"/>
    </xf>
    <xf numFmtId="0" fontId="0" fillId="0" borderId="17" xfId="0" applyBorder="1"/>
    <xf numFmtId="0" fontId="0" fillId="0" borderId="0" xfId="0" applyBorder="1" applyAlignment="1">
      <alignment vertical="top" wrapText="1"/>
    </xf>
    <xf numFmtId="0" fontId="22" fillId="0" borderId="0" xfId="0" applyFont="1" applyAlignment="1">
      <alignment vertical="justify"/>
    </xf>
    <xf numFmtId="165" fontId="3" fillId="0" borderId="0" xfId="0" applyNumberFormat="1" applyFont="1" applyBorder="1" applyAlignment="1" applyProtection="1">
      <alignment horizontal="fill" shrinkToFit="1"/>
    </xf>
    <xf numFmtId="165" fontId="3" fillId="0" borderId="0" xfId="0" quotePrefix="1" applyNumberFormat="1" applyFont="1" applyBorder="1" applyAlignment="1" applyProtection="1">
      <alignment horizontal="right"/>
    </xf>
    <xf numFmtId="1" fontId="32" fillId="0" borderId="6" xfId="0" applyNumberFormat="1" applyFont="1" applyBorder="1" applyAlignment="1" applyProtection="1">
      <alignment shrinkToFit="1"/>
    </xf>
    <xf numFmtId="0" fontId="0" fillId="0" borderId="11" xfId="0" applyBorder="1" applyAlignment="1">
      <alignment vertical="justify" wrapText="1"/>
    </xf>
    <xf numFmtId="165" fontId="18" fillId="0" borderId="0" xfId="0" applyNumberFormat="1" applyFont="1" applyBorder="1" applyProtection="1"/>
    <xf numFmtId="165" fontId="3" fillId="0" borderId="8" xfId="0" applyNumberFormat="1" applyFont="1" applyBorder="1" applyAlignment="1" applyProtection="1">
      <alignment horizontal="right"/>
    </xf>
    <xf numFmtId="165" fontId="14" fillId="0" borderId="0" xfId="0" applyNumberFormat="1" applyFont="1" applyBorder="1" applyAlignment="1" applyProtection="1">
      <alignment horizontal="center" vertical="justify" wrapText="1"/>
    </xf>
    <xf numFmtId="165" fontId="14" fillId="0" borderId="0" xfId="0" quotePrefix="1" applyNumberFormat="1" applyFont="1" applyBorder="1" applyProtection="1"/>
    <xf numFmtId="1" fontId="23" fillId="0" borderId="0" xfId="0" applyNumberFormat="1" applyFont="1" applyBorder="1" applyAlignment="1" applyProtection="1">
      <alignment shrinkToFit="1"/>
    </xf>
    <xf numFmtId="15" fontId="18" fillId="0" borderId="0" xfId="0" applyNumberFormat="1" applyFont="1" applyBorder="1" applyAlignment="1" applyProtection="1">
      <alignment horizontal="left"/>
    </xf>
    <xf numFmtId="0" fontId="22" fillId="0" borderId="0" xfId="0" applyFont="1" applyBorder="1" applyAlignment="1">
      <alignment vertical="justify"/>
    </xf>
    <xf numFmtId="0" fontId="0" fillId="0" borderId="24" xfId="0" applyBorder="1" applyAlignment="1"/>
    <xf numFmtId="165" fontId="3" fillId="0" borderId="24" xfId="0" applyNumberFormat="1" applyFont="1" applyBorder="1" applyProtection="1"/>
    <xf numFmtId="165" fontId="3" fillId="0" borderId="0" xfId="0" applyNumberFormat="1" applyFont="1" applyBorder="1" applyAlignment="1" applyProtection="1">
      <alignment vertical="center"/>
    </xf>
    <xf numFmtId="168" fontId="3" fillId="0" borderId="0" xfId="0" applyNumberFormat="1" applyFont="1" applyBorder="1" applyProtection="1"/>
    <xf numFmtId="1" fontId="14" fillId="0" borderId="0" xfId="0" applyNumberFormat="1" applyFont="1" applyBorder="1" applyAlignment="1" applyProtection="1">
      <alignment shrinkToFit="1"/>
    </xf>
    <xf numFmtId="1" fontId="35" fillId="2" borderId="0" xfId="0" applyNumberFormat="1" applyFont="1" applyFill="1" applyBorder="1" applyAlignment="1" applyProtection="1">
      <alignment vertical="top" wrapText="1"/>
    </xf>
    <xf numFmtId="165" fontId="14" fillId="0" borderId="0" xfId="0" applyNumberFormat="1" applyFont="1" applyAlignment="1" applyProtection="1">
      <alignment shrinkToFit="1"/>
    </xf>
    <xf numFmtId="165" fontId="23" fillId="0" borderId="0" xfId="0" applyNumberFormat="1" applyFont="1" applyBorder="1" applyAlignment="1" applyProtection="1">
      <alignment vertical="top" wrapText="1" shrinkToFit="1"/>
    </xf>
    <xf numFmtId="165" fontId="23" fillId="0" borderId="16" xfId="0" applyNumberFormat="1" applyFont="1" applyBorder="1" applyAlignment="1" applyProtection="1">
      <alignment vertical="top" wrapText="1" shrinkToFit="1"/>
    </xf>
    <xf numFmtId="165" fontId="20" fillId="0" borderId="0" xfId="0" applyNumberFormat="1" applyFont="1" applyBorder="1" applyProtection="1"/>
    <xf numFmtId="165" fontId="20" fillId="0" borderId="11" xfId="0" applyNumberFormat="1" applyFont="1" applyBorder="1" applyProtection="1"/>
    <xf numFmtId="0" fontId="0" fillId="0" borderId="0" xfId="0" applyBorder="1" applyAlignment="1">
      <alignment vertical="center" wrapText="1"/>
    </xf>
    <xf numFmtId="165" fontId="13" fillId="0" borderId="17" xfId="0" applyNumberFormat="1" applyFont="1" applyBorder="1"/>
    <xf numFmtId="0" fontId="0" fillId="0" borderId="8" xfId="0" applyBorder="1" applyAlignment="1">
      <alignment vertical="center" wrapText="1"/>
    </xf>
    <xf numFmtId="165" fontId="3" fillId="0" borderId="0" xfId="0" applyNumberFormat="1" applyFont="1" applyBorder="1" applyAlignment="1" applyProtection="1">
      <alignment vertical="top"/>
    </xf>
    <xf numFmtId="0" fontId="0" fillId="0" borderId="0" xfId="0" applyBorder="1" applyAlignment="1">
      <alignment vertical="top"/>
    </xf>
    <xf numFmtId="167" fontId="3" fillId="0" borderId="0" xfId="0" applyNumberFormat="1" applyFont="1" applyBorder="1" applyAlignment="1" applyProtection="1">
      <alignment vertical="center" wrapText="1"/>
    </xf>
    <xf numFmtId="165" fontId="14" fillId="0" borderId="0" xfId="0" applyNumberFormat="1" applyFont="1" applyBorder="1" applyAlignment="1" applyProtection="1">
      <alignment shrinkToFit="1"/>
    </xf>
    <xf numFmtId="0" fontId="0" fillId="0" borderId="0" xfId="0"/>
    <xf numFmtId="0" fontId="0" fillId="0" borderId="0" xfId="0"/>
    <xf numFmtId="165" fontId="14" fillId="0" borderId="0" xfId="0" applyNumberFormat="1" applyFont="1" applyBorder="1" applyAlignment="1" applyProtection="1">
      <alignment horizontal="center" vertical="center" wrapText="1"/>
    </xf>
    <xf numFmtId="165" fontId="14" fillId="0" borderId="0" xfId="0" applyNumberFormat="1" applyFont="1" applyBorder="1" applyAlignment="1" applyProtection="1">
      <alignment horizontal="center" vertical="center"/>
    </xf>
    <xf numFmtId="165" fontId="14" fillId="0" borderId="0" xfId="0" quotePrefix="1" applyNumberFormat="1" applyFont="1" applyBorder="1" applyAlignment="1" applyProtection="1">
      <alignment horizontal="left" vertical="center"/>
    </xf>
    <xf numFmtId="165" fontId="3" fillId="0" borderId="0" xfId="0" applyNumberFormat="1" applyFont="1" applyBorder="1" applyAlignment="1" applyProtection="1">
      <alignment shrinkToFit="1"/>
    </xf>
    <xf numFmtId="165" fontId="3" fillId="0" borderId="0" xfId="0" applyNumberFormat="1" applyFont="1" applyBorder="1" applyAlignment="1" applyProtection="1">
      <alignment horizontal="right"/>
    </xf>
    <xf numFmtId="165" fontId="3" fillId="0" borderId="0" xfId="0" applyNumberFormat="1" applyFont="1" applyBorder="1" applyAlignment="1" applyProtection="1"/>
    <xf numFmtId="0" fontId="0" fillId="0" borderId="0" xfId="0" applyBorder="1" applyAlignment="1">
      <alignment vertical="center" wrapText="1"/>
    </xf>
    <xf numFmtId="0" fontId="0" fillId="0" borderId="0" xfId="0"/>
    <xf numFmtId="165" fontId="42" fillId="0" borderId="31" xfId="0" applyNumberFormat="1" applyFont="1" applyBorder="1" applyProtection="1"/>
    <xf numFmtId="0" fontId="0" fillId="0" borderId="0" xfId="0"/>
    <xf numFmtId="165" fontId="14" fillId="0" borderId="0" xfId="0" applyNumberFormat="1" applyFont="1" applyBorder="1" applyAlignment="1" applyProtection="1">
      <alignment horizontal="center"/>
    </xf>
    <xf numFmtId="0" fontId="0" fillId="0" borderId="0" xfId="0"/>
    <xf numFmtId="0" fontId="0" fillId="0" borderId="0" xfId="0"/>
    <xf numFmtId="0" fontId="0" fillId="0" borderId="0" xfId="0" applyBorder="1" applyAlignment="1">
      <alignment horizontal="justify" vertical="center" wrapText="1"/>
    </xf>
    <xf numFmtId="0" fontId="0" fillId="0" borderId="0" xfId="0"/>
    <xf numFmtId="165" fontId="44" fillId="0" borderId="0" xfId="0" applyNumberFormat="1" applyFont="1" applyBorder="1" applyProtection="1"/>
    <xf numFmtId="165" fontId="44" fillId="0" borderId="11" xfId="0" applyNumberFormat="1" applyFont="1" applyBorder="1" applyProtection="1"/>
    <xf numFmtId="165" fontId="3" fillId="0" borderId="33" xfId="0" applyNumberFormat="1" applyFont="1" applyBorder="1" applyProtection="1"/>
    <xf numFmtId="165" fontId="3" fillId="0" borderId="34" xfId="0" applyNumberFormat="1" applyFont="1" applyBorder="1" applyProtection="1"/>
    <xf numFmtId="0" fontId="0" fillId="0" borderId="0" xfId="0" applyAlignment="1">
      <alignment vertical="center"/>
    </xf>
    <xf numFmtId="0" fontId="0" fillId="0" borderId="0" xfId="0"/>
    <xf numFmtId="0" fontId="0" fillId="0" borderId="0" xfId="0"/>
    <xf numFmtId="0" fontId="0" fillId="0" borderId="0" xfId="0" applyAlignment="1">
      <alignment horizontal="left"/>
    </xf>
    <xf numFmtId="0" fontId="19" fillId="0" borderId="15" xfId="0" applyFont="1" applyBorder="1" applyAlignment="1">
      <alignment horizontal="justify" vertical="top" wrapText="1"/>
    </xf>
    <xf numFmtId="165" fontId="9" fillId="0" borderId="0" xfId="0" applyNumberFormat="1" applyFont="1" applyBorder="1" applyAlignment="1" applyProtection="1">
      <alignment horizontal="left"/>
    </xf>
    <xf numFmtId="165" fontId="18" fillId="0" borderId="2" xfId="0" applyNumberFormat="1" applyFont="1" applyBorder="1" applyAlignment="1" applyProtection="1">
      <alignment horizontal="center" vertical="center"/>
    </xf>
    <xf numFmtId="165" fontId="3" fillId="0" borderId="29" xfId="0" applyNumberFormat="1" applyFont="1" applyBorder="1" applyAlignment="1" applyProtection="1">
      <alignment horizontal="center"/>
    </xf>
    <xf numFmtId="165" fontId="3" fillId="0" borderId="22" xfId="0" applyNumberFormat="1" applyFont="1" applyBorder="1" applyAlignment="1" applyProtection="1">
      <alignment horizontal="center"/>
    </xf>
    <xf numFmtId="165" fontId="3" fillId="0" borderId="23" xfId="0" applyNumberFormat="1" applyFont="1" applyBorder="1" applyAlignment="1" applyProtection="1">
      <alignment horizontal="center"/>
    </xf>
    <xf numFmtId="165" fontId="3" fillId="0" borderId="32" xfId="0" applyNumberFormat="1" applyFont="1" applyBorder="1" applyAlignment="1" applyProtection="1">
      <alignment horizontal="center"/>
    </xf>
    <xf numFmtId="0" fontId="0" fillId="0" borderId="11" xfId="0" applyBorder="1" applyAlignment="1">
      <alignment horizontal="justify" vertical="top" wrapText="1" shrinkToFit="1"/>
    </xf>
    <xf numFmtId="165" fontId="20" fillId="0" borderId="11" xfId="0" applyNumberFormat="1" applyFont="1" applyBorder="1" applyAlignment="1" applyProtection="1">
      <alignment vertical="center" wrapText="1"/>
    </xf>
    <xf numFmtId="0" fontId="0" fillId="0" borderId="0" xfId="0" applyAlignment="1">
      <alignment vertical="top"/>
    </xf>
    <xf numFmtId="0" fontId="0" fillId="0" borderId="17" xfId="0" applyBorder="1" applyAlignment="1">
      <alignment vertical="top"/>
    </xf>
    <xf numFmtId="165" fontId="3" fillId="0" borderId="22" xfId="0" applyNumberFormat="1" applyFont="1" applyBorder="1" applyAlignment="1" applyProtection="1">
      <alignment vertical="top"/>
    </xf>
    <xf numFmtId="165" fontId="9" fillId="0" borderId="0" xfId="0" applyNumberFormat="1" applyFont="1" applyBorder="1" applyAlignment="1" applyProtection="1">
      <alignment vertical="top"/>
    </xf>
    <xf numFmtId="165" fontId="18" fillId="0" borderId="2" xfId="0" applyNumberFormat="1" applyFont="1" applyBorder="1" applyAlignment="1" applyProtection="1">
      <alignment vertical="top"/>
    </xf>
    <xf numFmtId="0" fontId="16" fillId="0" borderId="0" xfId="0" applyFont="1" applyBorder="1" applyAlignment="1">
      <alignment vertical="top"/>
    </xf>
    <xf numFmtId="1" fontId="14" fillId="0" borderId="0" xfId="0" applyNumberFormat="1" applyFont="1" applyBorder="1" applyAlignment="1" applyProtection="1">
      <alignment vertical="top"/>
    </xf>
    <xf numFmtId="1" fontId="23" fillId="0" borderId="0" xfId="0" applyNumberFormat="1" applyFont="1" applyBorder="1" applyAlignment="1" applyProtection="1">
      <alignment vertical="top"/>
    </xf>
    <xf numFmtId="0" fontId="0" fillId="3" borderId="0" xfId="0" applyFill="1"/>
    <xf numFmtId="0" fontId="0" fillId="3" borderId="0" xfId="0" applyFill="1" applyAlignment="1">
      <alignment vertical="top"/>
    </xf>
    <xf numFmtId="0" fontId="0" fillId="5" borderId="0" xfId="0" applyFill="1"/>
    <xf numFmtId="165" fontId="3" fillId="3" borderId="44" xfId="0" applyNumberFormat="1" applyFont="1" applyFill="1" applyBorder="1" applyProtection="1"/>
    <xf numFmtId="165" fontId="3" fillId="3" borderId="44" xfId="0" applyNumberFormat="1" applyFont="1" applyFill="1" applyBorder="1" applyAlignment="1" applyProtection="1">
      <alignment vertical="top"/>
    </xf>
    <xf numFmtId="0" fontId="0" fillId="3" borderId="44" xfId="0" applyFill="1" applyBorder="1"/>
    <xf numFmtId="165" fontId="3" fillId="3" borderId="44" xfId="0" applyNumberFormat="1" applyFont="1" applyFill="1" applyBorder="1" applyAlignment="1" applyProtection="1"/>
    <xf numFmtId="0" fontId="0" fillId="0" borderId="44" xfId="0" applyBorder="1"/>
    <xf numFmtId="165" fontId="3" fillId="3" borderId="43" xfId="0" applyNumberFormat="1" applyFont="1" applyFill="1" applyBorder="1" applyAlignment="1" applyProtection="1">
      <alignment horizontal="left"/>
    </xf>
    <xf numFmtId="165" fontId="3" fillId="3" borderId="44" xfId="0" applyNumberFormat="1" applyFont="1" applyFill="1" applyBorder="1" applyAlignment="1" applyProtection="1">
      <alignment horizontal="left"/>
    </xf>
    <xf numFmtId="166" fontId="3" fillId="3" borderId="44" xfId="0" applyNumberFormat="1" applyFont="1" applyFill="1" applyBorder="1" applyAlignment="1" applyProtection="1">
      <alignment shrinkToFit="1"/>
    </xf>
    <xf numFmtId="166" fontId="16" fillId="3" borderId="44" xfId="0" applyNumberFormat="1" applyFont="1" applyFill="1" applyBorder="1" applyProtection="1"/>
    <xf numFmtId="0" fontId="0" fillId="3" borderId="44" xfId="0" applyFill="1" applyBorder="1" applyAlignment="1">
      <alignment vertical="top"/>
    </xf>
    <xf numFmtId="0" fontId="2" fillId="0" borderId="0" xfId="0" applyFont="1"/>
    <xf numFmtId="0" fontId="0" fillId="0" borderId="0" xfId="0" applyAlignment="1">
      <alignment horizontal="left" vertical="top"/>
    </xf>
    <xf numFmtId="165" fontId="3" fillId="0" borderId="0" xfId="0" applyNumberFormat="1" applyFont="1" applyBorder="1" applyAlignment="1" applyProtection="1">
      <alignment horizontal="left" vertical="top"/>
    </xf>
    <xf numFmtId="165" fontId="5" fillId="0" borderId="0" xfId="0" applyNumberFormat="1" applyFont="1" applyBorder="1" applyAlignment="1" applyProtection="1">
      <alignment horizontal="left" vertical="top"/>
    </xf>
    <xf numFmtId="0" fontId="0" fillId="0" borderId="0" xfId="0" applyAlignment="1">
      <alignment horizontal="left" vertical="top" wrapText="1"/>
    </xf>
    <xf numFmtId="1" fontId="38" fillId="0" borderId="18" xfId="0" applyNumberFormat="1" applyFont="1" applyBorder="1" applyAlignment="1" applyProtection="1">
      <alignment horizontal="left" vertical="top" wrapText="1"/>
    </xf>
    <xf numFmtId="165" fontId="3" fillId="0" borderId="20" xfId="0" applyNumberFormat="1" applyFont="1" applyBorder="1" applyAlignment="1" applyProtection="1">
      <alignment horizontal="left" vertical="top"/>
    </xf>
    <xf numFmtId="165" fontId="3" fillId="0" borderId="0" xfId="0" applyNumberFormat="1" applyFont="1" applyAlignment="1" applyProtection="1">
      <alignment horizontal="left" vertical="top"/>
    </xf>
    <xf numFmtId="165" fontId="3" fillId="0" borderId="18" xfId="0" applyNumberFormat="1" applyFont="1" applyBorder="1" applyAlignment="1" applyProtection="1">
      <alignment horizontal="left" vertical="top"/>
    </xf>
    <xf numFmtId="165" fontId="14" fillId="0" borderId="0" xfId="0" applyNumberFormat="1" applyFont="1" applyAlignment="1" applyProtection="1">
      <alignment horizontal="left" vertical="top"/>
    </xf>
    <xf numFmtId="165" fontId="23" fillId="0" borderId="0" xfId="0" applyNumberFormat="1" applyFont="1" applyAlignment="1" applyProtection="1">
      <alignment horizontal="left" vertical="top"/>
    </xf>
    <xf numFmtId="165" fontId="6" fillId="0" borderId="0" xfId="0" applyNumberFormat="1" applyFont="1" applyAlignment="1" applyProtection="1">
      <alignment horizontal="left" vertical="top"/>
    </xf>
    <xf numFmtId="0" fontId="25" fillId="0" borderId="0" xfId="0" applyFont="1" applyBorder="1" applyAlignment="1">
      <alignment vertical="center" wrapText="1"/>
    </xf>
    <xf numFmtId="0" fontId="0" fillId="0" borderId="11" xfId="0" applyBorder="1" applyAlignment="1">
      <alignment vertical="top" wrapText="1"/>
    </xf>
    <xf numFmtId="165" fontId="3" fillId="0" borderId="0" xfId="0" applyNumberFormat="1" applyFont="1" applyBorder="1" applyAlignment="1" applyProtection="1">
      <alignment horizontal="center"/>
    </xf>
    <xf numFmtId="1" fontId="13" fillId="0" borderId="17" xfId="0" applyNumberFormat="1" applyFont="1" applyBorder="1" applyAlignment="1">
      <alignment horizontal="center" vertical="center"/>
    </xf>
    <xf numFmtId="0" fontId="2" fillId="3" borderId="0" xfId="0" applyFont="1" applyFill="1" applyAlignment="1"/>
    <xf numFmtId="165" fontId="3" fillId="3" borderId="44" xfId="0" applyNumberFormat="1" applyFont="1" applyFill="1" applyBorder="1" applyAlignment="1" applyProtection="1">
      <alignment horizontal="center" vertical="center" shrinkToFit="1"/>
    </xf>
    <xf numFmtId="0" fontId="51" fillId="3" borderId="48" xfId="0" applyFont="1" applyFill="1" applyBorder="1"/>
    <xf numFmtId="165" fontId="54" fillId="3" borderId="45" xfId="0" applyNumberFormat="1" applyFont="1" applyFill="1" applyBorder="1" applyAlignment="1" applyProtection="1">
      <alignment shrinkToFit="1"/>
    </xf>
    <xf numFmtId="165" fontId="55" fillId="3" borderId="44" xfId="0" applyNumberFormat="1" applyFont="1" applyFill="1" applyBorder="1" applyAlignment="1" applyProtection="1">
      <alignment vertical="top"/>
    </xf>
    <xf numFmtId="165" fontId="55" fillId="3" borderId="44" xfId="0" applyNumberFormat="1" applyFont="1" applyFill="1" applyBorder="1" applyAlignment="1" applyProtection="1">
      <alignment shrinkToFit="1"/>
    </xf>
    <xf numFmtId="0" fontId="0" fillId="6" borderId="0" xfId="0" applyFill="1"/>
    <xf numFmtId="0" fontId="2" fillId="6" borderId="0" xfId="0" applyFont="1" applyFill="1"/>
    <xf numFmtId="15" fontId="24" fillId="3" borderId="0" xfId="0" applyNumberFormat="1" applyFont="1" applyFill="1" applyAlignment="1">
      <alignment shrinkToFit="1"/>
    </xf>
    <xf numFmtId="165" fontId="24" fillId="3" borderId="0" xfId="0" applyNumberFormat="1" applyFont="1" applyFill="1" applyAlignment="1" applyProtection="1">
      <alignment shrinkToFit="1"/>
    </xf>
    <xf numFmtId="165" fontId="24" fillId="3" borderId="0" xfId="0" applyNumberFormat="1" applyFont="1" applyFill="1" applyBorder="1" applyProtection="1"/>
    <xf numFmtId="165" fontId="24" fillId="3" borderId="0" xfId="0" applyNumberFormat="1" applyFont="1" applyFill="1"/>
    <xf numFmtId="0" fontId="56" fillId="3" borderId="0" xfId="0" applyFont="1" applyFill="1" applyBorder="1"/>
    <xf numFmtId="0" fontId="56" fillId="3" borderId="0" xfId="0" applyFont="1" applyFill="1" applyBorder="1" applyAlignment="1">
      <alignment vertical="top"/>
    </xf>
    <xf numFmtId="0" fontId="59" fillId="3" borderId="0" xfId="0" applyFont="1" applyFill="1" applyBorder="1"/>
    <xf numFmtId="165" fontId="58" fillId="3" borderId="0" xfId="0" applyNumberFormat="1" applyFont="1" applyFill="1" applyBorder="1" applyAlignment="1">
      <alignment vertical="center"/>
    </xf>
    <xf numFmtId="9" fontId="59" fillId="3" borderId="0" xfId="4" applyFont="1" applyFill="1" applyBorder="1" applyAlignment="1" applyProtection="1">
      <alignment vertical="center"/>
    </xf>
    <xf numFmtId="0" fontId="56" fillId="3" borderId="0" xfId="0" applyFont="1" applyFill="1" applyBorder="1" applyAlignment="1"/>
    <xf numFmtId="165" fontId="59" fillId="3" borderId="0" xfId="0" applyNumberFormat="1" applyFont="1" applyFill="1" applyBorder="1" applyAlignment="1" applyProtection="1"/>
    <xf numFmtId="165" fontId="58" fillId="3" borderId="0" xfId="0" applyNumberFormat="1" applyFont="1" applyFill="1" applyBorder="1" applyAlignment="1" applyProtection="1">
      <alignment vertical="center"/>
    </xf>
    <xf numFmtId="0" fontId="59" fillId="3" borderId="0" xfId="0" applyFont="1" applyFill="1" applyBorder="1" applyAlignment="1"/>
    <xf numFmtId="165" fontId="59" fillId="3" borderId="0" xfId="0" applyNumberFormat="1" applyFont="1" applyFill="1" applyBorder="1" applyAlignment="1" applyProtection="1">
      <alignment vertical="center"/>
    </xf>
    <xf numFmtId="0" fontId="59" fillId="3" borderId="0" xfId="0" applyFont="1" applyFill="1" applyBorder="1" applyAlignment="1">
      <alignment vertical="center"/>
    </xf>
    <xf numFmtId="0" fontId="59" fillId="3" borderId="0" xfId="0" quotePrefix="1" applyFont="1" applyFill="1" applyBorder="1" applyAlignment="1"/>
    <xf numFmtId="0" fontId="59" fillId="3" borderId="0" xfId="0" quotePrefix="1" applyFont="1" applyFill="1" applyBorder="1" applyAlignment="1">
      <alignment vertical="center"/>
    </xf>
    <xf numFmtId="167" fontId="59" fillId="3" borderId="0" xfId="0" quotePrefix="1" applyNumberFormat="1" applyFont="1" applyFill="1" applyBorder="1" applyAlignment="1" applyProtection="1"/>
    <xf numFmtId="167" fontId="59" fillId="3" borderId="0" xfId="0" quotePrefix="1" applyNumberFormat="1" applyFont="1" applyFill="1" applyBorder="1" applyAlignment="1" applyProtection="1">
      <alignment vertical="center"/>
    </xf>
    <xf numFmtId="165" fontId="59" fillId="3" borderId="0" xfId="0" applyNumberFormat="1" applyFont="1" applyFill="1" applyBorder="1" applyAlignment="1" applyProtection="1">
      <alignment vertical="center" wrapText="1"/>
    </xf>
    <xf numFmtId="0" fontId="59" fillId="3" borderId="0" xfId="0" applyFont="1" applyFill="1" applyBorder="1" applyAlignment="1">
      <alignment vertical="center" wrapText="1"/>
    </xf>
    <xf numFmtId="0" fontId="57" fillId="3" borderId="0" xfId="0" applyFont="1" applyFill="1" applyBorder="1"/>
    <xf numFmtId="165" fontId="58" fillId="3" borderId="0" xfId="0" applyNumberFormat="1" applyFont="1" applyFill="1" applyBorder="1" applyAlignment="1"/>
    <xf numFmtId="165" fontId="58" fillId="3" borderId="0" xfId="0" applyNumberFormat="1" applyFont="1" applyFill="1" applyBorder="1" applyAlignment="1">
      <alignment vertical="center" wrapText="1"/>
    </xf>
    <xf numFmtId="0" fontId="58" fillId="3" borderId="0" xfId="0" applyFont="1" applyFill="1" applyBorder="1" applyAlignment="1">
      <alignment horizontal="center" vertical="center"/>
    </xf>
    <xf numFmtId="0" fontId="58" fillId="3" borderId="0" xfId="0" applyFont="1" applyFill="1" applyBorder="1"/>
    <xf numFmtId="0" fontId="58" fillId="3" borderId="0" xfId="0" applyFont="1" applyFill="1" applyBorder="1" applyAlignment="1">
      <alignment horizontal="center"/>
    </xf>
    <xf numFmtId="165" fontId="56" fillId="3" borderId="0" xfId="0" applyNumberFormat="1" applyFont="1" applyFill="1" applyBorder="1" applyAlignment="1">
      <alignment vertical="center" wrapText="1"/>
    </xf>
    <xf numFmtId="0" fontId="56" fillId="3" borderId="0" xfId="0" applyFont="1" applyFill="1" applyBorder="1" applyAlignment="1">
      <alignment vertical="center" wrapText="1"/>
    </xf>
    <xf numFmtId="164" fontId="58" fillId="3" borderId="0" xfId="1" applyFont="1" applyFill="1" applyBorder="1" applyAlignment="1">
      <alignment vertical="center"/>
    </xf>
    <xf numFmtId="165" fontId="56" fillId="3" borderId="0" xfId="0" applyNumberFormat="1" applyFont="1" applyFill="1" applyBorder="1" applyAlignment="1"/>
    <xf numFmtId="165" fontId="62" fillId="3" borderId="0" xfId="0" applyNumberFormat="1" applyFont="1" applyFill="1" applyBorder="1" applyAlignment="1" applyProtection="1">
      <alignment horizontal="left" vertical="center"/>
    </xf>
    <xf numFmtId="165" fontId="61" fillId="3" borderId="0" xfId="0" applyNumberFormat="1" applyFont="1" applyFill="1" applyBorder="1" applyAlignment="1" applyProtection="1"/>
    <xf numFmtId="0" fontId="56" fillId="3" borderId="0" xfId="0" applyFont="1" applyFill="1" applyBorder="1" applyAlignment="1">
      <alignment vertical="center"/>
    </xf>
    <xf numFmtId="165" fontId="57" fillId="3" borderId="0" xfId="0" applyNumberFormat="1" applyFont="1" applyFill="1" applyBorder="1" applyProtection="1"/>
    <xf numFmtId="165" fontId="59" fillId="3" borderId="0" xfId="0" applyNumberFormat="1" applyFont="1" applyFill="1" applyBorder="1" applyAlignment="1">
      <alignment vertical="center" wrapText="1"/>
    </xf>
    <xf numFmtId="165" fontId="57" fillId="3" borderId="0" xfId="0" applyNumberFormat="1" applyFont="1" applyFill="1" applyBorder="1" applyAlignment="1" applyProtection="1">
      <alignment vertical="center"/>
    </xf>
    <xf numFmtId="165" fontId="57" fillId="3" borderId="0" xfId="0" applyNumberFormat="1" applyFont="1" applyFill="1" applyBorder="1" applyAlignment="1" applyProtection="1">
      <alignment vertical="center" wrapText="1"/>
    </xf>
    <xf numFmtId="0" fontId="56" fillId="3" borderId="0" xfId="0" applyFont="1" applyFill="1" applyBorder="1" applyAlignment="1">
      <alignment horizontal="center"/>
    </xf>
    <xf numFmtId="0" fontId="60" fillId="3" borderId="0" xfId="0" applyFont="1" applyFill="1" applyBorder="1" applyAlignment="1"/>
    <xf numFmtId="0" fontId="60" fillId="3" borderId="0" xfId="0" applyFont="1" applyFill="1" applyBorder="1" applyAlignment="1">
      <alignment vertical="center" wrapText="1"/>
    </xf>
    <xf numFmtId="165" fontId="57" fillId="3" borderId="0" xfId="0" applyNumberFormat="1" applyFont="1" applyFill="1" applyBorder="1" applyAlignment="1" applyProtection="1"/>
    <xf numFmtId="167" fontId="59" fillId="3" borderId="0" xfId="0" applyNumberFormat="1" applyFont="1" applyFill="1" applyBorder="1" applyAlignment="1" applyProtection="1">
      <alignment vertical="center" wrapText="1"/>
    </xf>
    <xf numFmtId="0" fontId="56" fillId="0" borderId="0" xfId="0" applyFont="1" applyBorder="1"/>
    <xf numFmtId="165" fontId="3" fillId="0" borderId="50" xfId="0" applyNumberFormat="1" applyFont="1" applyBorder="1" applyAlignment="1" applyProtection="1">
      <alignment horizontal="center"/>
    </xf>
    <xf numFmtId="165" fontId="3" fillId="0" borderId="50" xfId="0" applyNumberFormat="1" applyFont="1" applyBorder="1" applyAlignment="1" applyProtection="1">
      <alignment vertical="top"/>
    </xf>
    <xf numFmtId="165" fontId="3" fillId="0" borderId="42" xfId="0" applyNumberFormat="1" applyFont="1" applyBorder="1" applyAlignment="1" applyProtection="1">
      <alignment horizontal="center"/>
    </xf>
    <xf numFmtId="165" fontId="9" fillId="0" borderId="30" xfId="0" applyNumberFormat="1" applyFont="1" applyBorder="1" applyAlignment="1" applyProtection="1">
      <alignment horizontal="left"/>
    </xf>
    <xf numFmtId="165" fontId="9" fillId="0" borderId="30" xfId="0" applyNumberFormat="1" applyFont="1" applyBorder="1" applyAlignment="1" applyProtection="1"/>
    <xf numFmtId="165" fontId="3" fillId="0" borderId="30" xfId="0" applyNumberFormat="1" applyFont="1" applyBorder="1" applyProtection="1"/>
    <xf numFmtId="165" fontId="25" fillId="0" borderId="55" xfId="0" applyNumberFormat="1" applyFont="1" applyBorder="1" applyAlignment="1">
      <alignment horizontal="center" vertical="center" wrapText="1"/>
    </xf>
    <xf numFmtId="0" fontId="25" fillId="0" borderId="56" xfId="0" applyFont="1" applyBorder="1" applyAlignment="1">
      <alignment horizontal="center" vertical="center" wrapText="1"/>
    </xf>
    <xf numFmtId="0" fontId="25" fillId="0" borderId="56" xfId="0" applyFont="1" applyBorder="1" applyAlignment="1">
      <alignment vertical="top"/>
    </xf>
    <xf numFmtId="0" fontId="25" fillId="0" borderId="57" xfId="0" applyFont="1" applyBorder="1" applyAlignment="1">
      <alignment horizontal="center" vertical="center" wrapText="1"/>
    </xf>
    <xf numFmtId="3" fontId="20" fillId="0" borderId="0" xfId="0" applyNumberFormat="1" applyFont="1" applyBorder="1" applyProtection="1"/>
    <xf numFmtId="3" fontId="14" fillId="0" borderId="0" xfId="0" applyNumberFormat="1" applyFont="1" applyBorder="1" applyProtection="1"/>
    <xf numFmtId="3" fontId="14" fillId="0" borderId="11" xfId="0" applyNumberFormat="1" applyFont="1" applyBorder="1" applyAlignment="1" applyProtection="1">
      <alignment vertical="center" wrapText="1"/>
    </xf>
    <xf numFmtId="3" fontId="0" fillId="0" borderId="0" xfId="0" applyNumberFormat="1"/>
    <xf numFmtId="3" fontId="3" fillId="0" borderId="0" xfId="0" applyNumberFormat="1" applyFont="1" applyBorder="1" applyAlignment="1" applyProtection="1">
      <alignment horizontal="right" shrinkToFit="1"/>
    </xf>
    <xf numFmtId="3" fontId="3" fillId="0" borderId="0" xfId="0" applyNumberFormat="1" applyFont="1" applyBorder="1" applyAlignment="1" applyProtection="1">
      <alignment horizontal="fill" shrinkToFit="1"/>
    </xf>
    <xf numFmtId="3" fontId="3" fillId="0" borderId="0" xfId="0" applyNumberFormat="1" applyFont="1" applyBorder="1" applyAlignment="1" applyProtection="1">
      <alignment vertical="top"/>
    </xf>
    <xf numFmtId="165" fontId="56" fillId="3" borderId="0" xfId="0" applyNumberFormat="1" applyFont="1" applyFill="1" applyBorder="1"/>
    <xf numFmtId="0" fontId="56" fillId="3" borderId="0" xfId="0" applyFont="1" applyFill="1"/>
    <xf numFmtId="0" fontId="58" fillId="3" borderId="0" xfId="0" applyFont="1" applyFill="1"/>
    <xf numFmtId="0" fontId="56" fillId="3" borderId="0" xfId="0" applyFont="1" applyFill="1" applyAlignment="1">
      <alignment vertical="top"/>
    </xf>
    <xf numFmtId="9" fontId="57" fillId="3" borderId="0" xfId="4" applyFont="1" applyFill="1" applyBorder="1" applyAlignment="1" applyProtection="1">
      <alignment horizontal="left" vertical="center"/>
    </xf>
    <xf numFmtId="9" fontId="59" fillId="3" borderId="0" xfId="4" quotePrefix="1" applyFont="1" applyFill="1" applyBorder="1" applyAlignment="1" applyProtection="1"/>
    <xf numFmtId="165" fontId="57" fillId="3" borderId="0" xfId="0" applyNumberFormat="1" applyFont="1" applyFill="1" applyBorder="1" applyAlignment="1" applyProtection="1">
      <alignment horizontal="left" vertical="center"/>
    </xf>
    <xf numFmtId="165" fontId="55" fillId="3" borderId="0" xfId="0" applyNumberFormat="1" applyFont="1" applyFill="1" applyBorder="1" applyAlignment="1" applyProtection="1">
      <alignment horizontal="left"/>
    </xf>
    <xf numFmtId="165" fontId="55" fillId="3" borderId="0" xfId="0" applyNumberFormat="1" applyFont="1" applyFill="1" applyBorder="1" applyProtection="1"/>
    <xf numFmtId="165" fontId="58" fillId="3" borderId="0" xfId="0" applyNumberFormat="1" applyFont="1" applyFill="1" applyBorder="1" applyAlignment="1" applyProtection="1">
      <alignment horizontal="left"/>
    </xf>
    <xf numFmtId="2" fontId="56" fillId="3" borderId="0" xfId="0" applyNumberFormat="1" applyFont="1" applyFill="1" applyBorder="1"/>
    <xf numFmtId="1" fontId="58" fillId="3" borderId="0" xfId="0" applyNumberFormat="1" applyFont="1" applyFill="1" applyBorder="1" applyAlignment="1" applyProtection="1">
      <alignment horizontal="right" vertical="center"/>
    </xf>
    <xf numFmtId="1" fontId="56" fillId="3" borderId="0" xfId="0" applyNumberFormat="1" applyFont="1" applyFill="1" applyBorder="1"/>
    <xf numFmtId="1" fontId="56" fillId="3" borderId="0" xfId="0" applyNumberFormat="1" applyFont="1" applyFill="1" applyBorder="1" applyAlignment="1">
      <alignment vertical="top"/>
    </xf>
    <xf numFmtId="165" fontId="55" fillId="3" borderId="0" xfId="0" applyNumberFormat="1" applyFont="1" applyFill="1" applyBorder="1" applyAlignment="1" applyProtection="1">
      <alignment horizontal="center"/>
    </xf>
    <xf numFmtId="165" fontId="55" fillId="3" borderId="0" xfId="0" applyNumberFormat="1" applyFont="1" applyFill="1" applyBorder="1" applyAlignment="1" applyProtection="1">
      <alignment vertical="top"/>
    </xf>
    <xf numFmtId="165" fontId="63" fillId="3" borderId="0" xfId="0" applyNumberFormat="1" applyFont="1" applyFill="1" applyBorder="1" applyAlignment="1" applyProtection="1">
      <alignment horizontal="left" vertical="center"/>
    </xf>
    <xf numFmtId="0" fontId="60" fillId="3" borderId="0" xfId="0" applyFont="1" applyFill="1" applyBorder="1" applyAlignment="1">
      <alignment horizontal="left" vertical="center"/>
    </xf>
    <xf numFmtId="165" fontId="58" fillId="3" borderId="0" xfId="0" applyNumberFormat="1" applyFont="1" applyFill="1" applyBorder="1" applyAlignment="1" applyProtection="1">
      <alignment wrapText="1"/>
    </xf>
    <xf numFmtId="0" fontId="56" fillId="3" borderId="0" xfId="0" applyFont="1" applyFill="1" applyBorder="1" applyAlignment="1">
      <alignment wrapText="1"/>
    </xf>
    <xf numFmtId="165" fontId="58" fillId="3" borderId="0" xfId="0" applyNumberFormat="1" applyFont="1" applyFill="1" applyBorder="1" applyAlignment="1" applyProtection="1">
      <alignment horizontal="left" wrapText="1"/>
    </xf>
    <xf numFmtId="165" fontId="58" fillId="3" borderId="0" xfId="0" applyNumberFormat="1" applyFont="1" applyFill="1" applyBorder="1" applyAlignment="1" applyProtection="1">
      <alignment vertical="top"/>
    </xf>
    <xf numFmtId="165" fontId="58" fillId="3" borderId="0" xfId="0" quotePrefix="1" applyNumberFormat="1" applyFont="1" applyFill="1" applyBorder="1" applyAlignment="1" applyProtection="1">
      <alignment horizontal="left"/>
    </xf>
    <xf numFmtId="165" fontId="62" fillId="3" borderId="0" xfId="0" applyNumberFormat="1" applyFont="1" applyFill="1" applyBorder="1" applyAlignment="1" applyProtection="1">
      <alignment vertical="top" wrapText="1" shrinkToFit="1"/>
    </xf>
    <xf numFmtId="165" fontId="63" fillId="3" borderId="0" xfId="0" applyNumberFormat="1" applyFont="1" applyFill="1" applyBorder="1" applyProtection="1"/>
    <xf numFmtId="165" fontId="62" fillId="3" borderId="16" xfId="0" applyNumberFormat="1" applyFont="1" applyFill="1" applyBorder="1" applyAlignment="1" applyProtection="1">
      <alignment shrinkToFit="1"/>
    </xf>
    <xf numFmtId="165" fontId="55" fillId="3" borderId="0" xfId="0" applyNumberFormat="1" applyFont="1" applyFill="1" applyProtection="1"/>
    <xf numFmtId="0" fontId="64" fillId="3" borderId="0" xfId="0" applyFont="1" applyFill="1" applyAlignment="1">
      <alignment horizontal="center" vertical="center"/>
    </xf>
    <xf numFmtId="0" fontId="65" fillId="3" borderId="0" xfId="0" applyFont="1" applyFill="1" applyAlignment="1">
      <alignment horizontal="justify"/>
    </xf>
    <xf numFmtId="0" fontId="59" fillId="3" borderId="0" xfId="0" applyFont="1" applyFill="1"/>
    <xf numFmtId="165" fontId="62" fillId="3" borderId="0" xfId="0" applyNumberFormat="1" applyFont="1" applyFill="1" applyBorder="1" applyProtection="1"/>
    <xf numFmtId="165" fontId="58" fillId="3" borderId="0" xfId="0" applyNumberFormat="1" applyFont="1" applyFill="1" applyBorder="1" applyProtection="1"/>
    <xf numFmtId="165" fontId="65" fillId="3" borderId="0" xfId="0" applyNumberFormat="1" applyFont="1" applyFill="1" applyBorder="1" applyAlignment="1" applyProtection="1">
      <alignment horizontal="fill"/>
    </xf>
    <xf numFmtId="165" fontId="59" fillId="3" borderId="0" xfId="0" applyNumberFormat="1" applyFont="1" applyFill="1" applyBorder="1" applyAlignment="1">
      <alignment horizontal="left"/>
    </xf>
    <xf numFmtId="0" fontId="66" fillId="3" borderId="0" xfId="0" applyFont="1" applyFill="1" applyBorder="1"/>
    <xf numFmtId="165" fontId="66" fillId="3" borderId="0" xfId="0" applyNumberFormat="1" applyFont="1" applyFill="1" applyBorder="1" applyProtection="1"/>
    <xf numFmtId="165" fontId="59" fillId="3" borderId="0" xfId="0" quotePrefix="1" applyNumberFormat="1" applyFont="1" applyFill="1" applyBorder="1" applyProtection="1"/>
    <xf numFmtId="0" fontId="66" fillId="3" borderId="0" xfId="0" applyFont="1" applyFill="1" applyBorder="1" applyAlignment="1">
      <alignment vertical="center" readingOrder="1"/>
    </xf>
    <xf numFmtId="165" fontId="59" fillId="3" borderId="0" xfId="0" applyNumberFormat="1" applyFont="1" applyFill="1" applyBorder="1" applyProtection="1"/>
    <xf numFmtId="165" fontId="59" fillId="3" borderId="0" xfId="0" applyNumberFormat="1" applyFont="1" applyFill="1" applyBorder="1"/>
    <xf numFmtId="0" fontId="59" fillId="3" borderId="0" xfId="0" applyFont="1" applyFill="1" applyBorder="1" applyAlignment="1">
      <alignment horizontal="left"/>
    </xf>
    <xf numFmtId="15" fontId="66" fillId="3" borderId="0" xfId="0" applyNumberFormat="1" applyFont="1" applyFill="1" applyBorder="1" applyProtection="1"/>
    <xf numFmtId="0" fontId="63" fillId="3" borderId="0" xfId="0" applyFont="1" applyFill="1" applyBorder="1" applyAlignment="1">
      <alignment vertical="center"/>
    </xf>
    <xf numFmtId="165" fontId="56" fillId="3" borderId="0" xfId="0" applyNumberFormat="1" applyFont="1" applyFill="1" applyBorder="1" applyProtection="1"/>
    <xf numFmtId="165" fontId="61" fillId="3" borderId="0" xfId="0" applyNumberFormat="1" applyFont="1" applyFill="1" applyBorder="1" applyProtection="1"/>
    <xf numFmtId="165" fontId="63" fillId="3" borderId="0" xfId="0" applyNumberFormat="1" applyFont="1" applyFill="1" applyBorder="1" applyAlignment="1" applyProtection="1">
      <alignment vertical="center"/>
    </xf>
    <xf numFmtId="0" fontId="60" fillId="3" borderId="0" xfId="0" applyFont="1" applyFill="1" applyBorder="1" applyAlignment="1">
      <alignment vertical="center"/>
    </xf>
    <xf numFmtId="15" fontId="59" fillId="3" borderId="0" xfId="0" applyNumberFormat="1" applyFont="1" applyFill="1" applyBorder="1" applyProtection="1"/>
    <xf numFmtId="165" fontId="57" fillId="3" borderId="0" xfId="0" quotePrefix="1" applyNumberFormat="1" applyFont="1" applyFill="1" applyBorder="1" applyAlignment="1" applyProtection="1">
      <alignment vertical="top"/>
    </xf>
    <xf numFmtId="2" fontId="56" fillId="3" borderId="0" xfId="0" applyNumberFormat="1" applyFont="1" applyFill="1" applyBorder="1" applyAlignment="1">
      <alignment horizontal="justify" vertical="top" wrapText="1"/>
    </xf>
    <xf numFmtId="0" fontId="56" fillId="3" borderId="0" xfId="0" applyFont="1" applyFill="1" applyBorder="1" applyAlignment="1">
      <alignment horizontal="justify" vertical="top" wrapText="1"/>
    </xf>
    <xf numFmtId="165" fontId="57" fillId="3" borderId="0" xfId="0" applyNumberFormat="1" applyFont="1" applyFill="1" applyBorder="1" applyAlignment="1">
      <alignment vertical="center"/>
    </xf>
    <xf numFmtId="165" fontId="62" fillId="3" borderId="0" xfId="0" applyNumberFormat="1" applyFont="1" applyFill="1" applyBorder="1" applyAlignment="1">
      <alignment vertical="center" wrapText="1"/>
    </xf>
    <xf numFmtId="165" fontId="62" fillId="3" borderId="0" xfId="0" applyNumberFormat="1" applyFont="1" applyFill="1" applyBorder="1" applyAlignment="1">
      <alignment vertical="center"/>
    </xf>
    <xf numFmtId="0" fontId="56" fillId="3" borderId="0" xfId="0" applyFont="1" applyFill="1" applyBorder="1" applyAlignment="1">
      <alignment vertical="top" wrapText="1"/>
    </xf>
    <xf numFmtId="165" fontId="61" fillId="3" borderId="0" xfId="0" applyNumberFormat="1" applyFont="1" applyFill="1" applyBorder="1" applyAlignment="1"/>
    <xf numFmtId="0" fontId="57" fillId="3" borderId="0" xfId="0" applyFont="1" applyFill="1" applyBorder="1" applyAlignment="1">
      <alignment horizontal="left"/>
    </xf>
    <xf numFmtId="167" fontId="55" fillId="3" borderId="0" xfId="0" applyNumberFormat="1" applyFont="1" applyFill="1" applyBorder="1" applyAlignment="1" applyProtection="1">
      <alignment vertical="center" wrapText="1"/>
    </xf>
    <xf numFmtId="165" fontId="62" fillId="3" borderId="0" xfId="0" applyNumberFormat="1" applyFont="1" applyFill="1" applyBorder="1" applyAlignment="1" applyProtection="1">
      <alignment horizontal="center"/>
    </xf>
    <xf numFmtId="0" fontId="59" fillId="3" borderId="0" xfId="0" applyFont="1" applyFill="1" applyBorder="1" applyAlignment="1">
      <alignment horizontal="justify" vertical="justify" wrapText="1"/>
    </xf>
    <xf numFmtId="0" fontId="59" fillId="3" borderId="0" xfId="0" applyFont="1" applyFill="1" applyBorder="1" applyAlignment="1">
      <alignment horizontal="left" vertical="justify" wrapText="1" indent="1"/>
    </xf>
    <xf numFmtId="165" fontId="55" fillId="3" borderId="0" xfId="0" applyNumberFormat="1" applyFont="1" applyFill="1" applyBorder="1" applyAlignment="1" applyProtection="1">
      <alignment horizontal="center" vertical="center"/>
    </xf>
    <xf numFmtId="0" fontId="67" fillId="3" borderId="0" xfId="0" applyFont="1" applyFill="1" applyBorder="1" applyAlignment="1">
      <alignment horizontal="center" vertical="top" wrapText="1"/>
    </xf>
    <xf numFmtId="1" fontId="62" fillId="3" borderId="0" xfId="0" applyNumberFormat="1" applyFont="1" applyFill="1" applyBorder="1" applyAlignment="1" applyProtection="1">
      <alignment horizontal="right"/>
    </xf>
    <xf numFmtId="1" fontId="68" fillId="3" borderId="0" xfId="0" applyNumberFormat="1" applyFont="1" applyFill="1" applyBorder="1" applyAlignment="1" applyProtection="1">
      <alignment horizontal="right"/>
    </xf>
    <xf numFmtId="1" fontId="62" fillId="3" borderId="0" xfId="0" applyNumberFormat="1" applyFont="1" applyFill="1" applyBorder="1" applyAlignment="1">
      <alignment horizontal="right"/>
    </xf>
    <xf numFmtId="1" fontId="62" fillId="3" borderId="0" xfId="0" applyNumberFormat="1" applyFont="1" applyFill="1" applyBorder="1" applyProtection="1"/>
    <xf numFmtId="0" fontId="56" fillId="0" borderId="0" xfId="0" applyFont="1"/>
    <xf numFmtId="0" fontId="56" fillId="0" borderId="0" xfId="0" applyFont="1" applyAlignment="1">
      <alignment vertical="top"/>
    </xf>
    <xf numFmtId="0" fontId="56" fillId="5" borderId="0" xfId="0" applyFont="1" applyFill="1"/>
    <xf numFmtId="1" fontId="62" fillId="0" borderId="0" xfId="0" applyNumberFormat="1" applyFont="1" applyBorder="1" applyProtection="1"/>
    <xf numFmtId="165" fontId="62" fillId="0" borderId="0" xfId="0" applyNumberFormat="1" applyFont="1" applyBorder="1" applyProtection="1"/>
    <xf numFmtId="1" fontId="62" fillId="0" borderId="0" xfId="0" applyNumberFormat="1" applyFont="1" applyBorder="1" applyAlignment="1" applyProtection="1">
      <alignment horizontal="right"/>
    </xf>
    <xf numFmtId="1" fontId="68" fillId="0" borderId="0" xfId="0" applyNumberFormat="1" applyFont="1" applyBorder="1" applyProtection="1"/>
    <xf numFmtId="1" fontId="62" fillId="0" borderId="0" xfId="0" applyNumberFormat="1" applyFont="1" applyBorder="1" applyAlignment="1">
      <alignment horizontal="center"/>
    </xf>
    <xf numFmtId="165" fontId="55" fillId="0" borderId="0" xfId="0" applyNumberFormat="1" applyFont="1" applyBorder="1" applyProtection="1"/>
    <xf numFmtId="166" fontId="4" fillId="3" borderId="44" xfId="0" applyNumberFormat="1" applyFont="1" applyFill="1" applyBorder="1" applyAlignment="1" applyProtection="1">
      <alignment shrinkToFit="1"/>
    </xf>
    <xf numFmtId="3" fontId="3" fillId="3" borderId="44" xfId="0" applyNumberFormat="1" applyFont="1" applyFill="1" applyBorder="1" applyAlignment="1" applyProtection="1">
      <alignment shrinkToFit="1"/>
    </xf>
    <xf numFmtId="3" fontId="14" fillId="0" borderId="0" xfId="0" applyNumberFormat="1" applyFont="1" applyAlignment="1" applyProtection="1">
      <alignment vertical="top"/>
    </xf>
    <xf numFmtId="0" fontId="15" fillId="0" borderId="0" xfId="0" applyFont="1"/>
    <xf numFmtId="165" fontId="54" fillId="7" borderId="44" xfId="0" applyNumberFormat="1" applyFont="1" applyFill="1" applyBorder="1" applyAlignment="1" applyProtection="1">
      <alignment vertical="center" shrinkToFit="1"/>
    </xf>
    <xf numFmtId="165" fontId="50" fillId="7" borderId="44" xfId="0" applyNumberFormat="1" applyFont="1" applyFill="1" applyBorder="1" applyAlignment="1" applyProtection="1">
      <alignment vertical="center" shrinkToFit="1"/>
    </xf>
    <xf numFmtId="165" fontId="50" fillId="7" borderId="44" xfId="0" applyNumberFormat="1" applyFont="1" applyFill="1" applyBorder="1" applyAlignment="1" applyProtection="1">
      <alignment shrinkToFit="1"/>
    </xf>
    <xf numFmtId="166" fontId="50" fillId="7" borderId="44" xfId="0" applyNumberFormat="1" applyFont="1" applyFill="1" applyBorder="1" applyAlignment="1" applyProtection="1">
      <alignment shrinkToFit="1"/>
    </xf>
    <xf numFmtId="167" fontId="50" fillId="7" borderId="44" xfId="0" applyNumberFormat="1" applyFont="1" applyFill="1" applyBorder="1" applyAlignment="1" applyProtection="1">
      <alignment shrinkToFit="1"/>
    </xf>
    <xf numFmtId="1" fontId="50" fillId="7" borderId="44" xfId="0" applyNumberFormat="1" applyFont="1" applyFill="1" applyBorder="1" applyProtection="1"/>
    <xf numFmtId="166" fontId="50" fillId="7" borderId="44" xfId="0" applyNumberFormat="1" applyFont="1" applyFill="1" applyBorder="1" applyProtection="1"/>
    <xf numFmtId="165" fontId="50" fillId="7" borderId="44" xfId="0" applyNumberFormat="1" applyFont="1" applyFill="1" applyBorder="1" applyProtection="1"/>
    <xf numFmtId="165" fontId="50" fillId="7" borderId="44" xfId="0" applyNumberFormat="1" applyFont="1" applyFill="1" applyBorder="1" applyAlignment="1" applyProtection="1">
      <alignment horizontal="center"/>
    </xf>
    <xf numFmtId="0" fontId="48" fillId="7" borderId="47" xfId="1" applyNumberFormat="1" applyFont="1" applyFill="1" applyBorder="1" applyAlignment="1" applyProtection="1">
      <alignment vertical="top"/>
    </xf>
    <xf numFmtId="2" fontId="0" fillId="4" borderId="0" xfId="0" applyNumberFormat="1" applyFill="1" applyBorder="1"/>
    <xf numFmtId="1" fontId="3" fillId="0" borderId="44" xfId="0" applyNumberFormat="1" applyFont="1" applyBorder="1" applyAlignment="1" applyProtection="1">
      <alignment horizontal="center" vertical="center"/>
    </xf>
    <xf numFmtId="165" fontId="3" fillId="0" borderId="44" xfId="0" applyNumberFormat="1" applyFont="1" applyBorder="1" applyAlignment="1" applyProtection="1">
      <alignment horizontal="left"/>
    </xf>
    <xf numFmtId="3" fontId="3" fillId="0" borderId="44" xfId="0" applyNumberFormat="1" applyFont="1" applyBorder="1" applyAlignment="1" applyProtection="1">
      <alignment horizontal="center" vertical="center" wrapText="1"/>
    </xf>
    <xf numFmtId="3" fontId="0" fillId="0" borderId="44" xfId="0" applyNumberFormat="1" applyBorder="1" applyAlignment="1">
      <alignment horizontal="center" vertical="center" wrapText="1"/>
    </xf>
    <xf numFmtId="165" fontId="3" fillId="0" borderId="44" xfId="0" applyNumberFormat="1" applyFont="1" applyBorder="1" applyProtection="1"/>
    <xf numFmtId="165" fontId="14" fillId="0" borderId="44" xfId="0" applyNumberFormat="1" applyFont="1" applyBorder="1" applyProtection="1"/>
    <xf numFmtId="165" fontId="14" fillId="0" borderId="46" xfId="0" applyNumberFormat="1" applyFont="1" applyBorder="1" applyProtection="1"/>
    <xf numFmtId="165" fontId="14" fillId="0" borderId="46" xfId="0" applyNumberFormat="1" applyFont="1" applyBorder="1" applyAlignment="1" applyProtection="1">
      <alignment horizontal="center"/>
    </xf>
    <xf numFmtId="1" fontId="14" fillId="0" borderId="46" xfId="0" applyNumberFormat="1" applyFont="1" applyBorder="1" applyAlignment="1" applyProtection="1">
      <alignment horizontal="center" vertical="center"/>
    </xf>
    <xf numFmtId="165" fontId="14" fillId="0" borderId="60" xfId="0" applyNumberFormat="1" applyFont="1" applyBorder="1" applyProtection="1"/>
    <xf numFmtId="0" fontId="15" fillId="0" borderId="44" xfId="0" applyFont="1" applyBorder="1"/>
    <xf numFmtId="3" fontId="14" fillId="0" borderId="44" xfId="0" applyNumberFormat="1" applyFont="1" applyBorder="1" applyAlignment="1" applyProtection="1">
      <alignment shrinkToFit="1"/>
    </xf>
    <xf numFmtId="0" fontId="15" fillId="0" borderId="60" xfId="0" applyFont="1" applyBorder="1"/>
    <xf numFmtId="165" fontId="14" fillId="0" borderId="61" xfId="0" applyNumberFormat="1" applyFont="1" applyBorder="1" applyProtection="1"/>
    <xf numFmtId="165" fontId="14" fillId="0" borderId="44" xfId="0" applyNumberFormat="1" applyFont="1" applyBorder="1" applyAlignment="1" applyProtection="1"/>
    <xf numFmtId="165" fontId="29" fillId="3" borderId="49" xfId="0" applyNumberFormat="1" applyFont="1" applyFill="1" applyBorder="1" applyAlignment="1" applyProtection="1"/>
    <xf numFmtId="9" fontId="29" fillId="3" borderId="48" xfId="4" applyFont="1" applyFill="1" applyBorder="1" applyAlignment="1" applyProtection="1"/>
    <xf numFmtId="9" fontId="29" fillId="3" borderId="49" xfId="4" applyFont="1" applyFill="1" applyBorder="1" applyAlignment="1" applyProtection="1"/>
    <xf numFmtId="0" fontId="50" fillId="7" borderId="47" xfId="1" applyNumberFormat="1" applyFont="1" applyFill="1" applyBorder="1" applyAlignment="1" applyProtection="1">
      <alignment vertical="top"/>
    </xf>
    <xf numFmtId="0" fontId="0" fillId="3" borderId="65" xfId="0" applyFill="1" applyBorder="1"/>
    <xf numFmtId="165" fontId="23" fillId="3" borderId="65" xfId="0" applyNumberFormat="1" applyFont="1" applyFill="1" applyBorder="1" applyAlignment="1" applyProtection="1">
      <alignment horizontal="center" vertical="center"/>
    </xf>
    <xf numFmtId="165" fontId="23" fillId="3" borderId="67" xfId="0" applyNumberFormat="1" applyFont="1" applyFill="1" applyBorder="1" applyAlignment="1" applyProtection="1">
      <alignment horizontal="center" vertical="center"/>
    </xf>
    <xf numFmtId="165" fontId="54" fillId="7" borderId="68" xfId="0" applyNumberFormat="1" applyFont="1" applyFill="1" applyBorder="1" applyAlignment="1" applyProtection="1">
      <alignment vertical="center" shrinkToFit="1"/>
    </xf>
    <xf numFmtId="165" fontId="50" fillId="7" borderId="68" xfId="0" applyNumberFormat="1" applyFont="1" applyFill="1" applyBorder="1" applyAlignment="1" applyProtection="1">
      <alignment vertical="center" shrinkToFit="1"/>
    </xf>
    <xf numFmtId="165" fontId="20" fillId="3" borderId="65" xfId="0" applyNumberFormat="1" applyFont="1" applyFill="1" applyBorder="1" applyAlignment="1" applyProtection="1">
      <alignment horizontal="center"/>
    </xf>
    <xf numFmtId="165" fontId="20" fillId="3" borderId="67" xfId="0" applyNumberFormat="1" applyFont="1" applyFill="1" applyBorder="1" applyAlignment="1" applyProtection="1">
      <alignment horizontal="center"/>
    </xf>
    <xf numFmtId="165" fontId="50" fillId="7" borderId="68" xfId="0" applyNumberFormat="1" applyFont="1" applyFill="1" applyBorder="1" applyAlignment="1" applyProtection="1">
      <alignment shrinkToFit="1"/>
    </xf>
    <xf numFmtId="165" fontId="3" fillId="3" borderId="65" xfId="0" applyNumberFormat="1" applyFont="1" applyFill="1" applyBorder="1" applyAlignment="1" applyProtection="1">
      <alignment horizontal="center"/>
    </xf>
    <xf numFmtId="3" fontId="54" fillId="7" borderId="66" xfId="0" applyNumberFormat="1" applyFont="1" applyFill="1" applyBorder="1"/>
    <xf numFmtId="3" fontId="54" fillId="7" borderId="66" xfId="0" applyNumberFormat="1" applyFont="1" applyFill="1" applyBorder="1" applyProtection="1"/>
    <xf numFmtId="167" fontId="13" fillId="3" borderId="66" xfId="0" applyNumberFormat="1" applyFont="1" applyFill="1" applyBorder="1" applyAlignment="1" applyProtection="1"/>
    <xf numFmtId="165" fontId="3" fillId="3" borderId="66" xfId="0" applyNumberFormat="1" applyFont="1" applyFill="1" applyBorder="1" applyAlignment="1" applyProtection="1">
      <alignment shrinkToFit="1"/>
    </xf>
    <xf numFmtId="165" fontId="3" fillId="3" borderId="65" xfId="0" applyNumberFormat="1" applyFont="1" applyFill="1" applyBorder="1" applyProtection="1"/>
    <xf numFmtId="165" fontId="3" fillId="3" borderId="44" xfId="0" applyNumberFormat="1" applyFont="1" applyFill="1" applyBorder="1" applyAlignment="1" applyProtection="1">
      <alignment shrinkToFit="1"/>
    </xf>
    <xf numFmtId="165" fontId="20" fillId="3" borderId="67" xfId="0" applyNumberFormat="1" applyFont="1" applyFill="1" applyBorder="1" applyAlignment="1" applyProtection="1">
      <alignment vertical="center" wrapText="1"/>
    </xf>
    <xf numFmtId="0" fontId="0" fillId="0" borderId="65" xfId="0" applyBorder="1"/>
    <xf numFmtId="165" fontId="3" fillId="3" borderId="44" xfId="0" applyNumberFormat="1" applyFont="1" applyFill="1" applyBorder="1" applyAlignment="1" applyProtection="1">
      <alignment horizontal="right" shrinkToFit="1"/>
    </xf>
    <xf numFmtId="165" fontId="4" fillId="3" borderId="65" xfId="0" applyNumberFormat="1" applyFont="1" applyFill="1" applyBorder="1" applyProtection="1"/>
    <xf numFmtId="165" fontId="55" fillId="3" borderId="66" xfId="0" applyNumberFormat="1" applyFont="1" applyFill="1" applyBorder="1" applyAlignment="1" applyProtection="1">
      <alignment horizontal="center" shrinkToFit="1"/>
    </xf>
    <xf numFmtId="165" fontId="3" fillId="3" borderId="65" xfId="0" applyNumberFormat="1" applyFont="1" applyFill="1" applyBorder="1" applyAlignment="1" applyProtection="1"/>
    <xf numFmtId="3" fontId="14" fillId="0" borderId="68" xfId="0" applyNumberFormat="1" applyFont="1" applyBorder="1" applyAlignment="1" applyProtection="1">
      <alignment shrinkToFit="1"/>
    </xf>
    <xf numFmtId="3" fontId="15" fillId="0" borderId="44" xfId="0" applyNumberFormat="1" applyFont="1" applyBorder="1"/>
    <xf numFmtId="2" fontId="18" fillId="7" borderId="44" xfId="0" applyNumberFormat="1" applyFont="1" applyFill="1" applyBorder="1" applyAlignment="1" applyProtection="1">
      <alignment shrinkToFit="1"/>
    </xf>
    <xf numFmtId="2" fontId="0" fillId="0" borderId="44" xfId="0" applyNumberFormat="1" applyBorder="1"/>
    <xf numFmtId="3" fontId="15" fillId="0" borderId="66" xfId="0" applyNumberFormat="1" applyFont="1" applyBorder="1"/>
    <xf numFmtId="2" fontId="13" fillId="7" borderId="44" xfId="0" applyNumberFormat="1" applyFont="1" applyFill="1" applyBorder="1"/>
    <xf numFmtId="0" fontId="0" fillId="0" borderId="68" xfId="0" applyBorder="1"/>
    <xf numFmtId="3" fontId="16" fillId="0" borderId="68" xfId="0" applyNumberFormat="1" applyFont="1" applyBorder="1"/>
    <xf numFmtId="2" fontId="0" fillId="0" borderId="68" xfId="0" applyNumberFormat="1" applyBorder="1"/>
    <xf numFmtId="3" fontId="16" fillId="0" borderId="69" xfId="0" applyNumberFormat="1" applyFont="1" applyBorder="1"/>
    <xf numFmtId="165" fontId="3" fillId="3" borderId="72" xfId="0" applyNumberFormat="1" applyFont="1" applyFill="1" applyBorder="1" applyAlignment="1" applyProtection="1">
      <alignment shrinkToFit="1"/>
    </xf>
    <xf numFmtId="3" fontId="3" fillId="3" borderId="72" xfId="0" applyNumberFormat="1" applyFont="1" applyFill="1" applyBorder="1" applyAlignment="1" applyProtection="1">
      <alignment shrinkToFit="1"/>
    </xf>
    <xf numFmtId="167" fontId="3" fillId="3" borderId="74" xfId="0" applyNumberFormat="1" applyFont="1" applyFill="1" applyBorder="1" applyAlignment="1" applyProtection="1">
      <alignment horizontal="center"/>
    </xf>
    <xf numFmtId="165" fontId="3" fillId="3" borderId="75" xfId="0" applyNumberFormat="1" applyFont="1" applyFill="1" applyBorder="1" applyAlignment="1" applyProtection="1">
      <alignment horizontal="center" vertical="center" shrinkToFit="1"/>
    </xf>
    <xf numFmtId="0" fontId="2" fillId="0" borderId="75" xfId="0" applyFont="1" applyBorder="1"/>
    <xf numFmtId="165" fontId="3" fillId="3" borderId="76" xfId="0" applyNumberFormat="1" applyFont="1" applyFill="1" applyBorder="1" applyAlignment="1" applyProtection="1">
      <alignment vertical="top"/>
    </xf>
    <xf numFmtId="3" fontId="50" fillId="7" borderId="77" xfId="0" applyNumberFormat="1" applyFont="1" applyFill="1" applyBorder="1" applyAlignment="1" applyProtection="1">
      <alignment vertical="top"/>
    </xf>
    <xf numFmtId="3" fontId="3" fillId="3" borderId="77" xfId="0" applyNumberFormat="1" applyFont="1" applyFill="1" applyBorder="1" applyAlignment="1" applyProtection="1">
      <alignment shrinkToFit="1"/>
    </xf>
    <xf numFmtId="3" fontId="3" fillId="3" borderId="78" xfId="0" applyNumberFormat="1" applyFont="1" applyFill="1" applyBorder="1" applyAlignment="1" applyProtection="1">
      <alignment shrinkToFit="1"/>
    </xf>
    <xf numFmtId="0" fontId="2" fillId="0" borderId="0" xfId="0" applyFont="1" applyBorder="1"/>
    <xf numFmtId="0" fontId="0" fillId="3" borderId="0" xfId="0" applyFill="1" applyBorder="1"/>
    <xf numFmtId="0" fontId="51" fillId="3" borderId="0" xfId="0" applyFont="1" applyFill="1" applyBorder="1"/>
    <xf numFmtId="165" fontId="29" fillId="3" borderId="0" xfId="0" applyNumberFormat="1" applyFont="1" applyFill="1" applyBorder="1" applyAlignment="1" applyProtection="1"/>
    <xf numFmtId="1" fontId="50" fillId="3" borderId="0" xfId="0" applyNumberFormat="1" applyFont="1" applyFill="1" applyBorder="1" applyAlignment="1">
      <alignment horizontal="left" vertical="top"/>
    </xf>
    <xf numFmtId="0" fontId="2" fillId="3" borderId="0" xfId="0" applyFont="1" applyFill="1" applyBorder="1"/>
    <xf numFmtId="166" fontId="18" fillId="3" borderId="44" xfId="0" applyNumberFormat="1" applyFont="1" applyFill="1" applyBorder="1" applyAlignment="1" applyProtection="1">
      <alignment horizontal="center" shrinkToFit="1"/>
    </xf>
    <xf numFmtId="165" fontId="3" fillId="0" borderId="59" xfId="0" applyNumberFormat="1" applyFont="1" applyBorder="1" applyProtection="1"/>
    <xf numFmtId="0" fontId="0" fillId="0" borderId="59" xfId="0" applyBorder="1"/>
    <xf numFmtId="165" fontId="6" fillId="0" borderId="59" xfId="0" applyNumberFormat="1" applyFont="1" applyBorder="1" applyProtection="1"/>
    <xf numFmtId="0" fontId="0" fillId="0" borderId="51" xfId="0" applyBorder="1" applyAlignment="1">
      <alignment horizontal="left" vertical="top" wrapText="1" indent="1"/>
    </xf>
    <xf numFmtId="0" fontId="0" fillId="0" borderId="0" xfId="0" applyBorder="1" applyAlignment="1">
      <alignment horizontal="justify" vertical="top" wrapText="1" shrinkToFit="1"/>
    </xf>
    <xf numFmtId="0" fontId="0" fillId="0" borderId="50" xfId="0" applyBorder="1" applyAlignment="1">
      <alignment vertical="top"/>
    </xf>
    <xf numFmtId="0" fontId="0" fillId="0" borderId="50" xfId="0" applyBorder="1" applyAlignment="1">
      <alignment horizontal="justify" vertical="top" wrapText="1" shrinkToFit="1"/>
    </xf>
    <xf numFmtId="165" fontId="3" fillId="0" borderId="50" xfId="0" applyNumberFormat="1" applyFont="1" applyBorder="1" applyProtection="1"/>
    <xf numFmtId="165" fontId="3" fillId="0" borderId="58" xfId="0" applyNumberFormat="1" applyFont="1" applyBorder="1" applyAlignment="1" applyProtection="1">
      <alignment horizontal="left" vertical="top"/>
    </xf>
    <xf numFmtId="165" fontId="18" fillId="0" borderId="59" xfId="0" applyNumberFormat="1" applyFont="1" applyBorder="1" applyProtection="1"/>
    <xf numFmtId="165" fontId="3" fillId="0" borderId="59" xfId="0" applyNumberFormat="1" applyFont="1" applyBorder="1" applyAlignment="1" applyProtection="1">
      <alignment vertical="top"/>
    </xf>
    <xf numFmtId="0" fontId="6" fillId="0" borderId="59" xfId="0" applyFont="1" applyBorder="1"/>
    <xf numFmtId="165" fontId="3" fillId="0" borderId="86" xfId="0" applyNumberFormat="1" applyFont="1" applyBorder="1" applyAlignment="1" applyProtection="1">
      <alignment horizontal="center"/>
    </xf>
    <xf numFmtId="0" fontId="24" fillId="0" borderId="11" xfId="0" applyFont="1" applyBorder="1" applyAlignment="1">
      <alignment vertical="top" textRotation="255" wrapText="1"/>
    </xf>
    <xf numFmtId="0" fontId="24" fillId="0" borderId="11" xfId="0" applyFont="1" applyBorder="1" applyAlignment="1">
      <alignment horizontal="justify" vertical="top" textRotation="255" wrapText="1"/>
    </xf>
    <xf numFmtId="1" fontId="14" fillId="0" borderId="100" xfId="0" applyNumberFormat="1" applyFont="1" applyBorder="1" applyAlignment="1" applyProtection="1">
      <alignment vertical="top"/>
    </xf>
    <xf numFmtId="165" fontId="14" fillId="0" borderId="107" xfId="0" applyNumberFormat="1" applyFont="1" applyBorder="1" applyAlignment="1" applyProtection="1">
      <alignment horizontal="left" vertical="top"/>
    </xf>
    <xf numFmtId="165" fontId="14" fillId="0" borderId="108" xfId="0" applyNumberFormat="1" applyFont="1" applyBorder="1" applyProtection="1"/>
    <xf numFmtId="165" fontId="14" fillId="0" borderId="108" xfId="0" applyNumberFormat="1" applyFont="1" applyBorder="1" applyAlignment="1" applyProtection="1">
      <alignment horizontal="center"/>
    </xf>
    <xf numFmtId="1" fontId="14" fillId="0" borderId="108" xfId="0" applyNumberFormat="1" applyFont="1" applyBorder="1" applyAlignment="1" applyProtection="1">
      <alignment horizontal="center"/>
    </xf>
    <xf numFmtId="1" fontId="14" fillId="0" borderId="109" xfId="0" applyNumberFormat="1" applyFont="1" applyBorder="1" applyAlignment="1" applyProtection="1">
      <alignment horizontal="center"/>
    </xf>
    <xf numFmtId="165" fontId="14" fillId="0" borderId="110" xfId="0" applyNumberFormat="1" applyFont="1" applyBorder="1" applyAlignment="1" applyProtection="1">
      <alignment horizontal="left" vertical="top"/>
    </xf>
    <xf numFmtId="1" fontId="14" fillId="0" borderId="111" xfId="0" applyNumberFormat="1" applyFont="1" applyBorder="1" applyAlignment="1" applyProtection="1">
      <alignment horizontal="center" vertical="center"/>
    </xf>
    <xf numFmtId="165" fontId="14" fillId="0" borderId="107" xfId="0" applyNumberFormat="1" applyFont="1" applyBorder="1" applyAlignment="1" applyProtection="1">
      <alignment horizontal="center" vertical="center"/>
    </xf>
    <xf numFmtId="165" fontId="26" fillId="0" borderId="108" xfId="0" applyNumberFormat="1" applyFont="1" applyBorder="1" applyProtection="1"/>
    <xf numFmtId="1" fontId="18" fillId="0" borderId="108" xfId="0" applyNumberFormat="1" applyFont="1" applyBorder="1" applyAlignment="1" applyProtection="1">
      <alignment horizontal="center"/>
    </xf>
    <xf numFmtId="1" fontId="18" fillId="0" borderId="108" xfId="0" applyNumberFormat="1" applyFont="1" applyBorder="1" applyAlignment="1" applyProtection="1">
      <alignment vertical="top"/>
    </xf>
    <xf numFmtId="1" fontId="18" fillId="0" borderId="109" xfId="0" applyNumberFormat="1" applyFont="1" applyBorder="1" applyAlignment="1" applyProtection="1">
      <alignment horizontal="center"/>
    </xf>
    <xf numFmtId="165" fontId="14" fillId="0" borderId="65" xfId="0" applyNumberFormat="1" applyFont="1" applyBorder="1" applyAlignment="1" applyProtection="1">
      <alignment horizontal="left" vertical="top"/>
    </xf>
    <xf numFmtId="165" fontId="14" fillId="0" borderId="70" xfId="0" applyNumberFormat="1" applyFont="1" applyBorder="1" applyAlignment="1" applyProtection="1">
      <alignment horizontal="left" vertical="top"/>
    </xf>
    <xf numFmtId="165" fontId="14" fillId="0" borderId="112" xfId="0" applyNumberFormat="1" applyFont="1" applyBorder="1" applyAlignment="1" applyProtection="1">
      <alignment horizontal="left" vertical="top"/>
    </xf>
    <xf numFmtId="165" fontId="14" fillId="0" borderId="114" xfId="0" applyNumberFormat="1" applyFont="1" applyBorder="1" applyAlignment="1" applyProtection="1">
      <alignment horizontal="center" vertical="center"/>
    </xf>
    <xf numFmtId="165" fontId="14" fillId="0" borderId="115" xfId="0" applyNumberFormat="1" applyFont="1" applyBorder="1" applyProtection="1"/>
    <xf numFmtId="165" fontId="26" fillId="0" borderId="115" xfId="0" applyNumberFormat="1" applyFont="1" applyBorder="1" applyProtection="1"/>
    <xf numFmtId="165" fontId="14" fillId="0" borderId="117" xfId="0" applyNumberFormat="1" applyFont="1" applyBorder="1" applyProtection="1"/>
    <xf numFmtId="165" fontId="14" fillId="0" borderId="114" xfId="0" applyNumberFormat="1" applyFont="1" applyBorder="1" applyAlignment="1" applyProtection="1">
      <alignment horizontal="left" vertical="top"/>
    </xf>
    <xf numFmtId="165" fontId="14" fillId="0" borderId="115" xfId="0" applyNumberFormat="1" applyFont="1" applyBorder="1" applyAlignment="1" applyProtection="1"/>
    <xf numFmtId="0" fontId="15" fillId="0" borderId="115" xfId="0" applyFont="1" applyBorder="1"/>
    <xf numFmtId="165" fontId="14" fillId="0" borderId="67" xfId="0" applyNumberFormat="1" applyFont="1" applyBorder="1" applyAlignment="1" applyProtection="1">
      <alignment horizontal="left" vertical="top"/>
    </xf>
    <xf numFmtId="165" fontId="14" fillId="0" borderId="68" xfId="0" applyNumberFormat="1" applyFont="1" applyBorder="1" applyAlignment="1" applyProtection="1"/>
    <xf numFmtId="165" fontId="14" fillId="0" borderId="68" xfId="0" applyNumberFormat="1" applyFont="1" applyBorder="1" applyProtection="1"/>
    <xf numFmtId="3" fontId="14" fillId="0" borderId="68" xfId="0" applyNumberFormat="1" applyFont="1" applyBorder="1" applyAlignment="1" applyProtection="1">
      <alignment vertical="top"/>
    </xf>
    <xf numFmtId="165" fontId="14" fillId="0" borderId="46" xfId="0" applyNumberFormat="1" applyFont="1" applyBorder="1" applyAlignment="1" applyProtection="1">
      <alignment vertical="center"/>
    </xf>
    <xf numFmtId="1" fontId="14" fillId="0" borderId="46" xfId="0" applyNumberFormat="1" applyFont="1" applyBorder="1" applyAlignment="1" applyProtection="1">
      <alignment horizontal="center" vertical="center" shrinkToFit="1"/>
    </xf>
    <xf numFmtId="1" fontId="14" fillId="0" borderId="46" xfId="0" applyNumberFormat="1" applyFont="1" applyBorder="1" applyAlignment="1" applyProtection="1">
      <alignment horizontal="center" vertical="top"/>
    </xf>
    <xf numFmtId="165" fontId="26" fillId="0" borderId="120" xfId="0" applyNumberFormat="1" applyFont="1" applyBorder="1" applyAlignment="1" applyProtection="1">
      <alignment horizontal="left" vertical="top"/>
    </xf>
    <xf numFmtId="165" fontId="14" fillId="0" borderId="121" xfId="0" applyNumberFormat="1" applyFont="1" applyBorder="1" applyProtection="1"/>
    <xf numFmtId="165" fontId="26" fillId="0" borderId="121" xfId="0" applyNumberFormat="1" applyFont="1" applyBorder="1" applyProtection="1"/>
    <xf numFmtId="1" fontId="14" fillId="0" borderId="121" xfId="0" applyNumberFormat="1" applyFont="1" applyBorder="1" applyAlignment="1" applyProtection="1">
      <alignment shrinkToFit="1"/>
    </xf>
    <xf numFmtId="165" fontId="14" fillId="0" borderId="123" xfId="0" applyNumberFormat="1" applyFont="1" applyBorder="1" applyAlignment="1" applyProtection="1">
      <alignment horizontal="left" vertical="top"/>
    </xf>
    <xf numFmtId="0" fontId="15" fillId="0" borderId="124" xfId="0" applyFont="1" applyBorder="1"/>
    <xf numFmtId="165" fontId="14" fillId="0" borderId="124" xfId="0" applyNumberFormat="1" applyFont="1" applyBorder="1" applyProtection="1"/>
    <xf numFmtId="165" fontId="14" fillId="0" borderId="126" xfId="0" applyNumberFormat="1" applyFont="1" applyBorder="1" applyAlignment="1" applyProtection="1">
      <alignment horizontal="left" vertical="top"/>
    </xf>
    <xf numFmtId="165" fontId="14" fillId="0" borderId="127" xfId="0" applyNumberFormat="1" applyFont="1" applyBorder="1" applyProtection="1"/>
    <xf numFmtId="165" fontId="26" fillId="0" borderId="123" xfId="0" applyNumberFormat="1" applyFont="1" applyBorder="1" applyAlignment="1" applyProtection="1">
      <alignment horizontal="left" vertical="top"/>
    </xf>
    <xf numFmtId="165" fontId="14" fillId="0" borderId="129" xfId="0" applyNumberFormat="1" applyFont="1" applyBorder="1" applyProtection="1"/>
    <xf numFmtId="165" fontId="26" fillId="0" borderId="124" xfId="0" applyNumberFormat="1" applyFont="1" applyBorder="1" applyProtection="1"/>
    <xf numFmtId="165" fontId="14" fillId="0" borderId="130" xfId="0" applyNumberFormat="1" applyFont="1" applyBorder="1" applyAlignment="1" applyProtection="1">
      <alignment horizontal="left" vertical="top"/>
    </xf>
    <xf numFmtId="165" fontId="14" fillId="0" borderId="131" xfId="0" applyNumberFormat="1" applyFont="1" applyBorder="1" applyProtection="1"/>
    <xf numFmtId="165" fontId="14" fillId="0" borderId="133" xfId="0" applyNumberFormat="1" applyFont="1" applyBorder="1" applyAlignment="1" applyProtection="1">
      <alignment horizontal="left" vertical="top"/>
    </xf>
    <xf numFmtId="165" fontId="14" fillId="0" borderId="134" xfId="0" applyNumberFormat="1" applyFont="1" applyBorder="1" applyProtection="1"/>
    <xf numFmtId="1" fontId="3" fillId="0" borderId="66" xfId="0" applyNumberFormat="1" applyFont="1" applyBorder="1" applyAlignment="1" applyProtection="1">
      <alignment horizontal="center" vertical="center"/>
    </xf>
    <xf numFmtId="3" fontId="0" fillId="0" borderId="66" xfId="0" applyNumberFormat="1" applyBorder="1" applyAlignment="1">
      <alignment horizontal="center" vertical="center" wrapText="1"/>
    </xf>
    <xf numFmtId="165" fontId="3" fillId="0" borderId="65" xfId="0" applyNumberFormat="1" applyFont="1" applyBorder="1" applyProtection="1"/>
    <xf numFmtId="1" fontId="3" fillId="0" borderId="44" xfId="0" applyNumberFormat="1" applyFont="1" applyBorder="1" applyAlignment="1" applyProtection="1">
      <alignment shrinkToFit="1"/>
    </xf>
    <xf numFmtId="3" fontId="3" fillId="0" borderId="44" xfId="0" applyNumberFormat="1" applyFont="1" applyBorder="1" applyAlignment="1" applyProtection="1">
      <alignment shrinkToFit="1"/>
    </xf>
    <xf numFmtId="3" fontId="3" fillId="0" borderId="44" xfId="0" applyNumberFormat="1" applyFont="1" applyBorder="1" applyAlignment="1" applyProtection="1">
      <alignment vertical="top"/>
    </xf>
    <xf numFmtId="3" fontId="3" fillId="0" borderId="66" xfId="0" applyNumberFormat="1" applyFont="1" applyBorder="1" applyAlignment="1" applyProtection="1">
      <alignment shrinkToFit="1"/>
    </xf>
    <xf numFmtId="0" fontId="0" fillId="0" borderId="44" xfId="0" applyBorder="1" applyAlignment="1">
      <alignment shrinkToFit="1"/>
    </xf>
    <xf numFmtId="0" fontId="0" fillId="0" borderId="68" xfId="0" applyBorder="1" applyAlignment="1">
      <alignment shrinkToFit="1"/>
    </xf>
    <xf numFmtId="165" fontId="3" fillId="0" borderId="68" xfId="0" applyNumberFormat="1" applyFont="1" applyBorder="1" applyAlignment="1" applyProtection="1">
      <alignment shrinkToFit="1"/>
    </xf>
    <xf numFmtId="1" fontId="20" fillId="0" borderId="44" xfId="0" applyNumberFormat="1" applyFont="1" applyBorder="1" applyAlignment="1" applyProtection="1">
      <alignment horizontal="left"/>
    </xf>
    <xf numFmtId="165" fontId="3" fillId="0" borderId="65" xfId="0" applyNumberFormat="1" applyFont="1" applyBorder="1" applyAlignment="1" applyProtection="1">
      <alignment horizontal="left"/>
    </xf>
    <xf numFmtId="165" fontId="3" fillId="0" borderId="123" xfId="0" applyNumberFormat="1" applyFont="1" applyBorder="1" applyProtection="1"/>
    <xf numFmtId="0" fontId="0" fillId="0" borderId="0" xfId="0" applyBorder="1" applyAlignment="1">
      <alignment horizontal="left" vertical="top"/>
    </xf>
    <xf numFmtId="3" fontId="3" fillId="0" borderId="46" xfId="0" applyNumberFormat="1" applyFont="1" applyBorder="1" applyAlignment="1" applyProtection="1">
      <alignment shrinkToFit="1"/>
    </xf>
    <xf numFmtId="3" fontId="3" fillId="0" borderId="46" xfId="0" applyNumberFormat="1" applyFont="1" applyBorder="1" applyAlignment="1" applyProtection="1">
      <alignment vertical="top"/>
    </xf>
    <xf numFmtId="165" fontId="3" fillId="0" borderId="110" xfId="0" applyNumberFormat="1" applyFont="1" applyBorder="1" applyProtection="1"/>
    <xf numFmtId="165" fontId="18" fillId="0" borderId="46" xfId="0" applyNumberFormat="1" applyFont="1" applyBorder="1" applyProtection="1"/>
    <xf numFmtId="0" fontId="0" fillId="0" borderId="46" xfId="0" applyBorder="1"/>
    <xf numFmtId="1" fontId="3" fillId="0" borderId="46" xfId="0" applyNumberFormat="1" applyFont="1" applyBorder="1" applyAlignment="1" applyProtection="1">
      <alignment shrinkToFit="1"/>
    </xf>
    <xf numFmtId="165" fontId="3" fillId="0" borderId="53" xfId="0" applyNumberFormat="1" applyFont="1" applyBorder="1" applyProtection="1"/>
    <xf numFmtId="0" fontId="0" fillId="0" borderId="53" xfId="0" applyBorder="1" applyAlignment="1">
      <alignment shrinkToFit="1"/>
    </xf>
    <xf numFmtId="0" fontId="14" fillId="0" borderId="44" xfId="0" applyFont="1" applyBorder="1"/>
    <xf numFmtId="165" fontId="14" fillId="0" borderId="53" xfId="0" applyNumberFormat="1" applyFont="1" applyBorder="1" applyProtection="1"/>
    <xf numFmtId="165" fontId="72" fillId="3" borderId="65" xfId="0" applyNumberFormat="1" applyFont="1" applyFill="1" applyBorder="1" applyAlignment="1" applyProtection="1">
      <alignment horizontal="left"/>
    </xf>
    <xf numFmtId="165" fontId="72" fillId="3" borderId="44" xfId="0" applyNumberFormat="1" applyFont="1" applyFill="1" applyBorder="1" applyAlignment="1" applyProtection="1"/>
    <xf numFmtId="0" fontId="73" fillId="0" borderId="44" xfId="0" applyFont="1" applyBorder="1"/>
    <xf numFmtId="165" fontId="72" fillId="3" borderId="44" xfId="0" applyNumberFormat="1" applyFont="1" applyFill="1" applyBorder="1" applyAlignment="1" applyProtection="1">
      <alignment shrinkToFit="1"/>
    </xf>
    <xf numFmtId="165" fontId="72" fillId="3" borderId="44" xfId="0" applyNumberFormat="1" applyFont="1" applyFill="1" applyBorder="1" applyAlignment="1" applyProtection="1">
      <alignment vertical="top"/>
    </xf>
    <xf numFmtId="0" fontId="51" fillId="3" borderId="72" xfId="0" applyFont="1" applyFill="1" applyBorder="1"/>
    <xf numFmtId="0" fontId="50" fillId="7" borderId="150" xfId="1" applyNumberFormat="1" applyFont="1" applyFill="1" applyBorder="1" applyAlignment="1" applyProtection="1">
      <alignment vertical="top"/>
    </xf>
    <xf numFmtId="0" fontId="51" fillId="3" borderId="140" xfId="0" applyFont="1" applyFill="1" applyBorder="1"/>
    <xf numFmtId="0" fontId="51" fillId="3" borderId="73" xfId="0" applyFont="1" applyFill="1" applyBorder="1"/>
    <xf numFmtId="165" fontId="29" fillId="3" borderId="84" xfId="0" applyNumberFormat="1" applyFont="1" applyFill="1" applyBorder="1" applyAlignment="1" applyProtection="1"/>
    <xf numFmtId="0" fontId="15" fillId="3" borderId="48" xfId="0" applyFont="1" applyFill="1" applyBorder="1" applyAlignment="1"/>
    <xf numFmtId="165" fontId="29" fillId="3" borderId="139" xfId="0" applyNumberFormat="1" applyFont="1" applyFill="1" applyBorder="1" applyAlignment="1" applyProtection="1"/>
    <xf numFmtId="0" fontId="15" fillId="3" borderId="140" xfId="0" applyFont="1" applyFill="1" applyBorder="1" applyAlignment="1"/>
    <xf numFmtId="165" fontId="29" fillId="3" borderId="149" xfId="0" applyNumberFormat="1" applyFont="1" applyFill="1" applyBorder="1" applyAlignment="1" applyProtection="1"/>
    <xf numFmtId="0" fontId="15" fillId="3" borderId="152" xfId="0" applyFont="1" applyFill="1" applyBorder="1" applyAlignment="1"/>
    <xf numFmtId="165" fontId="29" fillId="3" borderId="153" xfId="0" applyNumberFormat="1" applyFont="1" applyFill="1" applyBorder="1" applyAlignment="1" applyProtection="1"/>
    <xf numFmtId="9" fontId="15" fillId="3" borderId="139" xfId="4" applyFont="1" applyFill="1" applyBorder="1" applyAlignment="1"/>
    <xf numFmtId="0" fontId="15" fillId="3" borderId="149" xfId="0" applyFont="1" applyFill="1" applyBorder="1" applyAlignment="1">
      <alignment vertical="center"/>
    </xf>
    <xf numFmtId="9" fontId="15" fillId="3" borderId="151" xfId="4" applyFont="1" applyFill="1" applyBorder="1" applyAlignment="1"/>
    <xf numFmtId="0" fontId="15" fillId="3" borderId="153" xfId="0" applyFont="1" applyFill="1" applyBorder="1" applyAlignment="1">
      <alignment vertical="center"/>
    </xf>
    <xf numFmtId="9" fontId="29" fillId="3" borderId="84" xfId="4" applyFont="1" applyFill="1" applyBorder="1" applyAlignment="1" applyProtection="1">
      <alignment vertical="top"/>
    </xf>
    <xf numFmtId="9" fontId="29" fillId="3" borderId="139" xfId="4" applyFont="1" applyFill="1" applyBorder="1" applyAlignment="1" applyProtection="1">
      <alignment vertical="top"/>
    </xf>
    <xf numFmtId="9" fontId="29" fillId="3" borderId="140" xfId="4" applyFont="1" applyFill="1" applyBorder="1" applyAlignment="1" applyProtection="1"/>
    <xf numFmtId="9" fontId="29" fillId="3" borderId="149" xfId="4" applyFont="1" applyFill="1" applyBorder="1" applyAlignment="1" applyProtection="1"/>
    <xf numFmtId="0" fontId="0" fillId="0" borderId="11" xfId="0" applyBorder="1"/>
    <xf numFmtId="165" fontId="7" fillId="3" borderId="11" xfId="0" applyNumberFormat="1" applyFont="1" applyFill="1" applyBorder="1" applyAlignment="1" applyProtection="1"/>
    <xf numFmtId="165" fontId="48" fillId="3" borderId="11" xfId="0" applyNumberFormat="1" applyFont="1" applyFill="1" applyBorder="1" applyAlignment="1" applyProtection="1">
      <alignment vertical="top"/>
    </xf>
    <xf numFmtId="0" fontId="0" fillId="0" borderId="0" xfId="0" applyAlignment="1">
      <alignment horizontal="center"/>
    </xf>
    <xf numFmtId="0" fontId="0" fillId="0" borderId="48" xfId="0" applyBorder="1"/>
    <xf numFmtId="2" fontId="0" fillId="0" borderId="0" xfId="0" applyNumberFormat="1" applyBorder="1"/>
    <xf numFmtId="165" fontId="55" fillId="3" borderId="0" xfId="0" applyNumberFormat="1" applyFont="1" applyFill="1" applyBorder="1" applyAlignment="1" applyProtection="1">
      <alignment shrinkToFit="1"/>
    </xf>
    <xf numFmtId="0" fontId="50" fillId="7" borderId="158" xfId="1" applyNumberFormat="1" applyFont="1" applyFill="1" applyBorder="1" applyAlignment="1" applyProtection="1">
      <alignment vertical="top"/>
    </xf>
    <xf numFmtId="0" fontId="51" fillId="3" borderId="152" xfId="0" applyFont="1" applyFill="1" applyBorder="1"/>
    <xf numFmtId="0" fontId="51" fillId="3" borderId="156" xfId="0" applyFont="1" applyFill="1" applyBorder="1"/>
    <xf numFmtId="0" fontId="50" fillId="7" borderId="150" xfId="1" quotePrefix="1" applyNumberFormat="1" applyFont="1" applyFill="1" applyBorder="1" applyAlignment="1" applyProtection="1">
      <alignment horizontal="left" vertical="top"/>
    </xf>
    <xf numFmtId="0" fontId="50" fillId="7" borderId="150" xfId="0" applyFont="1" applyFill="1" applyBorder="1" applyAlignment="1">
      <alignment horizontal="left" vertical="top"/>
    </xf>
    <xf numFmtId="0" fontId="0" fillId="0" borderId="140" xfId="0" applyBorder="1"/>
    <xf numFmtId="0" fontId="50" fillId="7" borderId="158" xfId="0" applyFont="1" applyFill="1" applyBorder="1" applyAlignment="1">
      <alignment vertical="top"/>
    </xf>
    <xf numFmtId="0" fontId="0" fillId="0" borderId="152" xfId="0" applyBorder="1"/>
    <xf numFmtId="169" fontId="50" fillId="7" borderId="47" xfId="0" quotePrefix="1" applyNumberFormat="1" applyFont="1" applyFill="1" applyBorder="1" applyAlignment="1" applyProtection="1">
      <alignment horizontal="left" vertical="top"/>
    </xf>
    <xf numFmtId="0" fontId="50" fillId="7" borderId="47" xfId="0" applyNumberFormat="1" applyFont="1" applyFill="1" applyBorder="1" applyAlignment="1" applyProtection="1">
      <alignment horizontal="left" vertical="top"/>
    </xf>
    <xf numFmtId="0" fontId="50" fillId="7" borderId="47" xfId="0" applyFont="1" applyFill="1" applyBorder="1"/>
    <xf numFmtId="0" fontId="51" fillId="3" borderId="48" xfId="0" applyFont="1" applyFill="1" applyBorder="1" applyAlignment="1">
      <alignment vertical="top"/>
    </xf>
    <xf numFmtId="165" fontId="50" fillId="7" borderId="47" xfId="0" applyNumberFormat="1" applyFont="1" applyFill="1" applyBorder="1" applyProtection="1"/>
    <xf numFmtId="0" fontId="51" fillId="0" borderId="48" xfId="0" applyFont="1" applyBorder="1"/>
    <xf numFmtId="0" fontId="50" fillId="7" borderId="47" xfId="1" applyNumberFormat="1" applyFont="1" applyFill="1" applyBorder="1" applyAlignment="1">
      <alignment vertical="top"/>
    </xf>
    <xf numFmtId="0" fontId="50" fillId="7" borderId="150" xfId="1" applyNumberFormat="1" applyFont="1" applyFill="1" applyBorder="1" applyAlignment="1">
      <alignment vertical="top"/>
    </xf>
    <xf numFmtId="0" fontId="51" fillId="3" borderId="140" xfId="0" applyFont="1" applyFill="1" applyBorder="1" applyAlignment="1">
      <alignment vertical="top"/>
    </xf>
    <xf numFmtId="165" fontId="50" fillId="7" borderId="152" xfId="0" applyNumberFormat="1" applyFont="1" applyFill="1" applyBorder="1" applyAlignment="1" applyProtection="1">
      <alignment shrinkToFit="1"/>
    </xf>
    <xf numFmtId="165" fontId="48" fillId="7" borderId="140" xfId="0" applyNumberFormat="1" applyFont="1" applyFill="1" applyBorder="1" applyAlignment="1" applyProtection="1">
      <alignment shrinkToFit="1"/>
    </xf>
    <xf numFmtId="165" fontId="53" fillId="7" borderId="140" xfId="0" applyNumberFormat="1" applyFont="1" applyFill="1" applyBorder="1" applyAlignment="1" applyProtection="1">
      <alignment vertical="top"/>
    </xf>
    <xf numFmtId="165" fontId="50" fillId="7" borderId="48" xfId="0" applyNumberFormat="1" applyFont="1" applyFill="1" applyBorder="1" applyAlignment="1" applyProtection="1">
      <alignment shrinkToFit="1"/>
    </xf>
    <xf numFmtId="0" fontId="50" fillId="7" borderId="140" xfId="0" applyFont="1" applyFill="1" applyBorder="1" applyAlignment="1">
      <alignment shrinkToFit="1"/>
    </xf>
    <xf numFmtId="0" fontId="2" fillId="0" borderId="158" xfId="0" applyFont="1" applyBorder="1"/>
    <xf numFmtId="0" fontId="2" fillId="3" borderId="150" xfId="0" applyFont="1" applyFill="1" applyBorder="1"/>
    <xf numFmtId="165" fontId="50" fillId="3" borderId="66" xfId="0" applyNumberFormat="1" applyFont="1" applyFill="1" applyBorder="1" applyAlignment="1" applyProtection="1">
      <alignment shrinkToFit="1"/>
    </xf>
    <xf numFmtId="0" fontId="2" fillId="0" borderId="66" xfId="0" applyFont="1" applyBorder="1"/>
    <xf numFmtId="166" fontId="4" fillId="3" borderId="66" xfId="0" applyNumberFormat="1" applyFont="1" applyFill="1" applyBorder="1" applyAlignment="1" applyProtection="1">
      <alignment shrinkToFit="1"/>
    </xf>
    <xf numFmtId="166" fontId="50" fillId="3" borderId="66" xfId="0" applyNumberFormat="1" applyFont="1" applyFill="1" applyBorder="1" applyAlignment="1" applyProtection="1">
      <alignment shrinkToFit="1"/>
    </xf>
    <xf numFmtId="165" fontId="4" fillId="3" borderId="66" xfId="0" applyNumberFormat="1" applyFont="1" applyFill="1" applyBorder="1" applyAlignment="1" applyProtection="1">
      <alignment shrinkToFit="1"/>
    </xf>
    <xf numFmtId="165" fontId="50" fillId="3" borderId="66" xfId="0" applyNumberFormat="1" applyFont="1" applyFill="1" applyBorder="1" applyProtection="1"/>
    <xf numFmtId="166" fontId="50" fillId="7" borderId="68" xfId="0" applyNumberFormat="1" applyFont="1" applyFill="1" applyBorder="1" applyProtection="1"/>
    <xf numFmtId="165" fontId="50" fillId="3" borderId="69" xfId="0" applyNumberFormat="1" applyFont="1" applyFill="1" applyBorder="1" applyProtection="1"/>
    <xf numFmtId="165" fontId="3" fillId="3" borderId="68" xfId="0" applyNumberFormat="1" applyFont="1" applyFill="1" applyBorder="1" applyProtection="1"/>
    <xf numFmtId="165" fontId="3" fillId="3" borderId="68" xfId="0" applyNumberFormat="1" applyFont="1" applyFill="1" applyBorder="1" applyAlignment="1" applyProtection="1">
      <alignment horizontal="center"/>
    </xf>
    <xf numFmtId="165" fontId="3" fillId="3" borderId="69" xfId="0" applyNumberFormat="1" applyFont="1" applyFill="1" applyBorder="1" applyAlignment="1" applyProtection="1">
      <alignment vertical="top"/>
    </xf>
    <xf numFmtId="165" fontId="3" fillId="3" borderId="118" xfId="0" applyNumberFormat="1" applyFont="1" applyFill="1" applyBorder="1" applyAlignment="1" applyProtection="1">
      <alignment shrinkToFit="1"/>
    </xf>
    <xf numFmtId="165" fontId="14" fillId="0" borderId="44" xfId="0" applyNumberFormat="1" applyFont="1" applyBorder="1" applyAlignment="1" applyProtection="1">
      <alignment shrinkToFit="1"/>
    </xf>
    <xf numFmtId="165" fontId="14" fillId="0" borderId="66" xfId="0" applyNumberFormat="1" applyFont="1" applyBorder="1" applyAlignment="1" applyProtection="1">
      <alignment shrinkToFit="1"/>
    </xf>
    <xf numFmtId="0" fontId="0" fillId="0" borderId="68" xfId="0" applyBorder="1" applyAlignment="1">
      <alignment horizontal="left"/>
    </xf>
    <xf numFmtId="165" fontId="20" fillId="3" borderId="65" xfId="0" applyNumberFormat="1" applyFont="1" applyFill="1" applyBorder="1" applyAlignment="1" applyProtection="1">
      <alignment horizontal="center" vertical="center" wrapText="1"/>
    </xf>
    <xf numFmtId="165" fontId="18" fillId="0" borderId="2" xfId="0" applyNumberFormat="1" applyFont="1" applyBorder="1" applyAlignment="1" applyProtection="1">
      <alignment horizontal="left" vertical="top"/>
    </xf>
    <xf numFmtId="165" fontId="3" fillId="0" borderId="2" xfId="0" applyNumberFormat="1" applyFont="1" applyBorder="1" applyAlignment="1" applyProtection="1">
      <alignment horizontal="center"/>
    </xf>
    <xf numFmtId="165" fontId="13" fillId="0" borderId="44" xfId="0" applyNumberFormat="1" applyFont="1" applyBorder="1" applyAlignment="1">
      <alignment horizontal="center" vertical="center" shrinkToFit="1"/>
    </xf>
    <xf numFmtId="165" fontId="13" fillId="0" borderId="66" xfId="0" applyNumberFormat="1" applyFont="1" applyBorder="1" applyAlignment="1">
      <alignment horizontal="center" vertical="center" shrinkToFit="1"/>
    </xf>
    <xf numFmtId="165" fontId="37" fillId="0" borderId="0" xfId="0" applyNumberFormat="1" applyFont="1" applyBorder="1" applyAlignment="1" applyProtection="1">
      <alignment horizontal="left" vertical="top"/>
    </xf>
    <xf numFmtId="3" fontId="13" fillId="0" borderId="44" xfId="0" applyNumberFormat="1" applyFont="1" applyBorder="1" applyAlignment="1">
      <alignment horizontal="center" vertical="center" shrinkToFit="1"/>
    </xf>
    <xf numFmtId="3" fontId="13" fillId="0" borderId="66" xfId="0" applyNumberFormat="1" applyFont="1" applyBorder="1" applyAlignment="1">
      <alignment horizontal="center" vertical="center" shrinkToFit="1"/>
    </xf>
    <xf numFmtId="165" fontId="50" fillId="3" borderId="159" xfId="0" applyNumberFormat="1" applyFont="1" applyFill="1" applyBorder="1" applyAlignment="1" applyProtection="1">
      <alignment horizontal="center" shrinkToFit="1"/>
    </xf>
    <xf numFmtId="165" fontId="50" fillId="3" borderId="159" xfId="0" applyNumberFormat="1" applyFont="1" applyFill="1" applyBorder="1" applyAlignment="1" applyProtection="1">
      <alignment horizontal="center" vertical="top"/>
    </xf>
    <xf numFmtId="165" fontId="50" fillId="3" borderId="160" xfId="0" applyNumberFormat="1" applyFont="1" applyFill="1" applyBorder="1" applyAlignment="1" applyProtection="1">
      <alignment horizontal="center" vertical="top"/>
    </xf>
    <xf numFmtId="165" fontId="50" fillId="7" borderId="162" xfId="0" applyNumberFormat="1" applyFont="1" applyFill="1" applyBorder="1" applyAlignment="1">
      <alignment horizontal="center"/>
    </xf>
    <xf numFmtId="165" fontId="50" fillId="7" borderId="163" xfId="0" applyNumberFormat="1" applyFont="1" applyFill="1" applyBorder="1" applyAlignment="1">
      <alignment horizontal="center"/>
    </xf>
    <xf numFmtId="165" fontId="50" fillId="7" borderId="162" xfId="0" applyNumberFormat="1" applyFont="1" applyFill="1" applyBorder="1" applyAlignment="1" applyProtection="1">
      <alignment horizontal="center" shrinkToFit="1"/>
    </xf>
    <xf numFmtId="165" fontId="50" fillId="7" borderId="162" xfId="0" applyNumberFormat="1" applyFont="1" applyFill="1" applyBorder="1" applyAlignment="1" applyProtection="1">
      <alignment horizontal="center" vertical="top"/>
    </xf>
    <xf numFmtId="165" fontId="26" fillId="3" borderId="151" xfId="0" applyNumberFormat="1" applyFont="1" applyFill="1" applyBorder="1" applyAlignment="1" applyProtection="1"/>
    <xf numFmtId="0" fontId="0" fillId="0" borderId="123" xfId="0" applyBorder="1" applyAlignment="1">
      <alignment horizontal="left"/>
    </xf>
    <xf numFmtId="0" fontId="0" fillId="0" borderId="124" xfId="0" applyBorder="1" applyAlignment="1">
      <alignment horizontal="left"/>
    </xf>
    <xf numFmtId="0" fontId="50" fillId="7" borderId="47" xfId="1" applyNumberFormat="1" applyFont="1" applyFill="1" applyBorder="1" applyAlignment="1" applyProtection="1">
      <alignment vertical="top"/>
    </xf>
    <xf numFmtId="165" fontId="3" fillId="0" borderId="0" xfId="0" applyNumberFormat="1" applyFont="1" applyBorder="1" applyAlignment="1" applyProtection="1">
      <alignment horizontal="center" vertical="center"/>
    </xf>
    <xf numFmtId="0" fontId="2" fillId="0" borderId="10" xfId="0" applyFont="1" applyBorder="1" applyAlignment="1">
      <alignment horizontal="left"/>
    </xf>
    <xf numFmtId="0" fontId="2" fillId="0" borderId="0" xfId="0" applyFont="1" applyBorder="1" applyAlignment="1">
      <alignment horizontal="left"/>
    </xf>
    <xf numFmtId="0" fontId="2" fillId="0" borderId="174" xfId="0" applyFont="1" applyBorder="1" applyAlignment="1">
      <alignment horizontal="left"/>
    </xf>
    <xf numFmtId="3" fontId="0" fillId="3" borderId="65" xfId="0" applyNumberFormat="1" applyFill="1" applyBorder="1" applyAlignment="1">
      <alignment vertical="top"/>
    </xf>
    <xf numFmtId="3" fontId="0" fillId="3" borderId="44" xfId="0" applyNumberFormat="1" applyFill="1" applyBorder="1" applyAlignment="1">
      <alignment vertical="top"/>
    </xf>
    <xf numFmtId="3" fontId="0" fillId="3" borderId="66" xfId="0" applyNumberFormat="1" applyFill="1" applyBorder="1" applyAlignment="1">
      <alignment vertical="top"/>
    </xf>
    <xf numFmtId="0" fontId="0" fillId="0" borderId="66" xfId="0" applyBorder="1"/>
    <xf numFmtId="3" fontId="0" fillId="0" borderId="65" xfId="0" applyNumberFormat="1" applyBorder="1"/>
    <xf numFmtId="3" fontId="0" fillId="0" borderId="44" xfId="0" applyNumberFormat="1" applyBorder="1"/>
    <xf numFmtId="3" fontId="0" fillId="0" borderId="66" xfId="0" applyNumberFormat="1" applyBorder="1"/>
    <xf numFmtId="0" fontId="0" fillId="3" borderId="65" xfId="0" applyFill="1" applyBorder="1" applyAlignment="1">
      <alignment vertical="top"/>
    </xf>
    <xf numFmtId="0" fontId="0" fillId="3" borderId="66" xfId="0" applyFill="1" applyBorder="1" applyAlignment="1">
      <alignment vertical="top"/>
    </xf>
    <xf numFmtId="3" fontId="0" fillId="3" borderId="67" xfId="0" applyNumberFormat="1" applyFill="1" applyBorder="1" applyAlignment="1">
      <alignment vertical="top"/>
    </xf>
    <xf numFmtId="3" fontId="0" fillId="3" borderId="68" xfId="0" applyNumberFormat="1" applyFill="1" applyBorder="1" applyAlignment="1">
      <alignment vertical="top"/>
    </xf>
    <xf numFmtId="3" fontId="0" fillId="3" borderId="69" xfId="0" applyNumberFormat="1" applyFill="1" applyBorder="1" applyAlignment="1">
      <alignment vertical="top"/>
    </xf>
    <xf numFmtId="165" fontId="13" fillId="3" borderId="136" xfId="0" applyNumberFormat="1" applyFont="1" applyFill="1" applyBorder="1" applyAlignment="1">
      <alignment horizontal="center"/>
    </xf>
    <xf numFmtId="165" fontId="13" fillId="3" borderId="137" xfId="0" applyNumberFormat="1" applyFont="1" applyFill="1" applyBorder="1" applyAlignment="1">
      <alignment horizontal="center"/>
    </xf>
    <xf numFmtId="165" fontId="13" fillId="3" borderId="138" xfId="0" applyNumberFormat="1" applyFont="1" applyFill="1" applyBorder="1" applyAlignment="1">
      <alignment horizontal="center"/>
    </xf>
    <xf numFmtId="165" fontId="53" fillId="3" borderId="152" xfId="0" applyNumberFormat="1" applyFont="1" applyFill="1" applyBorder="1" applyAlignment="1" applyProtection="1">
      <alignment vertical="top"/>
    </xf>
    <xf numFmtId="165" fontId="3" fillId="3" borderId="175" xfId="0" applyNumberFormat="1" applyFont="1" applyFill="1" applyBorder="1" applyAlignment="1" applyProtection="1">
      <alignment vertical="top"/>
    </xf>
    <xf numFmtId="165" fontId="3" fillId="3" borderId="141" xfId="0" applyNumberFormat="1" applyFont="1" applyFill="1" applyBorder="1" applyAlignment="1" applyProtection="1">
      <alignment vertical="top"/>
    </xf>
    <xf numFmtId="165" fontId="3" fillId="3" borderId="176" xfId="0" applyNumberFormat="1" applyFont="1" applyFill="1" applyBorder="1" applyAlignment="1" applyProtection="1">
      <alignment vertical="top"/>
    </xf>
    <xf numFmtId="0" fontId="0" fillId="3" borderId="172" xfId="0" applyFill="1" applyBorder="1" applyAlignment="1">
      <alignment vertical="top"/>
    </xf>
    <xf numFmtId="165" fontId="55" fillId="3" borderId="172" xfId="0" applyNumberFormat="1" applyFont="1" applyFill="1" applyBorder="1" applyAlignment="1" applyProtection="1">
      <alignment vertical="top"/>
    </xf>
    <xf numFmtId="165" fontId="4" fillId="3" borderId="53" xfId="0" applyNumberFormat="1" applyFont="1" applyFill="1" applyBorder="1" applyAlignment="1" applyProtection="1">
      <alignment shrinkToFit="1"/>
    </xf>
    <xf numFmtId="3" fontId="4" fillId="3" borderId="145" xfId="0" applyNumberFormat="1" applyFont="1" applyFill="1" applyBorder="1" applyAlignment="1" applyProtection="1">
      <alignment shrinkToFit="1"/>
    </xf>
    <xf numFmtId="0" fontId="2" fillId="0" borderId="65" xfId="0" applyFont="1" applyBorder="1"/>
    <xf numFmtId="0" fontId="2" fillId="3" borderId="65" xfId="0" applyFont="1" applyFill="1" applyBorder="1" applyAlignment="1">
      <alignment shrinkToFit="1"/>
    </xf>
    <xf numFmtId="3" fontId="2" fillId="0" borderId="66" xfId="0" applyNumberFormat="1" applyFont="1" applyBorder="1"/>
    <xf numFmtId="3" fontId="76" fillId="3" borderId="66" xfId="0" applyNumberFormat="1" applyFont="1" applyFill="1" applyBorder="1" applyAlignment="1" applyProtection="1">
      <alignment horizontal="right" shrinkToFit="1"/>
    </xf>
    <xf numFmtId="165" fontId="76" fillId="3" borderId="136" xfId="0" applyNumberFormat="1" applyFont="1" applyFill="1" applyBorder="1" applyAlignment="1" applyProtection="1">
      <alignment shrinkToFit="1"/>
    </xf>
    <xf numFmtId="3" fontId="76" fillId="3" borderId="138" xfId="0" applyNumberFormat="1" applyFont="1" applyFill="1" applyBorder="1" applyAlignment="1" applyProtection="1">
      <alignment shrinkToFit="1"/>
    </xf>
    <xf numFmtId="165" fontId="2" fillId="3" borderId="67" xfId="0" applyNumberFormat="1" applyFont="1" applyFill="1" applyBorder="1" applyAlignment="1" applyProtection="1">
      <alignment shrinkToFit="1"/>
    </xf>
    <xf numFmtId="3" fontId="2" fillId="3" borderId="69" xfId="0" applyNumberFormat="1" applyFont="1" applyFill="1" applyBorder="1" applyAlignment="1" applyProtection="1">
      <alignment shrinkToFit="1"/>
    </xf>
    <xf numFmtId="165" fontId="50" fillId="7" borderId="186" xfId="0" applyNumberFormat="1" applyFont="1" applyFill="1" applyBorder="1" applyProtection="1"/>
    <xf numFmtId="165" fontId="50" fillId="7" borderId="186" xfId="0" applyNumberFormat="1" applyFont="1" applyFill="1" applyBorder="1" applyAlignment="1" applyProtection="1">
      <alignment horizontal="center"/>
    </xf>
    <xf numFmtId="0" fontId="0" fillId="3" borderId="187" xfId="0" applyFill="1" applyBorder="1" applyAlignment="1">
      <alignment horizontal="center" wrapText="1"/>
    </xf>
    <xf numFmtId="0" fontId="2" fillId="3" borderId="187" xfId="0" applyFont="1" applyFill="1" applyBorder="1"/>
    <xf numFmtId="0" fontId="0" fillId="3" borderId="187" xfId="0" applyFill="1" applyBorder="1"/>
    <xf numFmtId="165" fontId="50" fillId="7" borderId="188" xfId="0" applyNumberFormat="1" applyFont="1" applyFill="1" applyBorder="1" applyAlignment="1" applyProtection="1">
      <alignment vertical="top"/>
    </xf>
    <xf numFmtId="0" fontId="13" fillId="4" borderId="187" xfId="0" applyFont="1" applyFill="1" applyBorder="1"/>
    <xf numFmtId="2" fontId="69" fillId="4" borderId="187" xfId="0" applyNumberFormat="1" applyFont="1" applyFill="1" applyBorder="1"/>
    <xf numFmtId="165" fontId="29" fillId="3" borderId="178" xfId="0" applyNumberFormat="1" applyFont="1" applyFill="1" applyBorder="1" applyAlignment="1" applyProtection="1"/>
    <xf numFmtId="0" fontId="15" fillId="3" borderId="173" xfId="0" applyFont="1" applyFill="1" applyBorder="1" applyAlignment="1"/>
    <xf numFmtId="165" fontId="29" fillId="3" borderId="189" xfId="0" applyNumberFormat="1" applyFont="1" applyFill="1" applyBorder="1" applyAlignment="1" applyProtection="1"/>
    <xf numFmtId="0" fontId="51" fillId="3" borderId="173" xfId="0" applyFont="1" applyFill="1" applyBorder="1"/>
    <xf numFmtId="0" fontId="51" fillId="3" borderId="190" xfId="0" applyFont="1" applyFill="1" applyBorder="1"/>
    <xf numFmtId="0" fontId="50" fillId="7" borderId="0" xfId="0" applyFont="1" applyFill="1"/>
    <xf numFmtId="165" fontId="3" fillId="0" borderId="65" xfId="0" applyNumberFormat="1" applyFont="1" applyBorder="1" applyAlignment="1" applyProtection="1">
      <alignment horizontal="left" vertical="top"/>
    </xf>
    <xf numFmtId="0" fontId="6" fillId="0" borderId="44" xfId="0" applyFont="1" applyBorder="1"/>
    <xf numFmtId="0" fontId="0" fillId="0" borderId="44" xfId="0" applyBorder="1" applyAlignment="1">
      <alignment vertical="top"/>
    </xf>
    <xf numFmtId="165" fontId="6" fillId="0" borderId="44" xfId="0" applyNumberFormat="1" applyFont="1" applyBorder="1" applyProtection="1"/>
    <xf numFmtId="165" fontId="3" fillId="0" borderId="66" xfId="0" applyNumberFormat="1" applyFont="1" applyBorder="1" applyProtection="1"/>
    <xf numFmtId="1" fontId="18" fillId="0" borderId="44" xfId="0" applyNumberFormat="1" applyFont="1" applyBorder="1" applyAlignment="1" applyProtection="1">
      <alignment horizontal="center"/>
    </xf>
    <xf numFmtId="1" fontId="75" fillId="0" borderId="44" xfId="0" applyNumberFormat="1" applyFont="1" applyBorder="1" applyAlignment="1" applyProtection="1">
      <alignment vertical="top"/>
    </xf>
    <xf numFmtId="1" fontId="3" fillId="0" borderId="44" xfId="0" applyNumberFormat="1" applyFont="1" applyBorder="1" applyAlignment="1" applyProtection="1">
      <alignment horizontal="center"/>
    </xf>
    <xf numFmtId="1" fontId="3" fillId="0" borderId="66" xfId="0" applyNumberFormat="1" applyFont="1" applyBorder="1" applyAlignment="1" applyProtection="1">
      <alignment horizontal="center"/>
    </xf>
    <xf numFmtId="1" fontId="18" fillId="0" borderId="44" xfId="0" applyNumberFormat="1" applyFont="1" applyBorder="1" applyAlignment="1" applyProtection="1">
      <alignment vertical="top"/>
    </xf>
    <xf numFmtId="1" fontId="3" fillId="0" borderId="44" xfId="0" applyNumberFormat="1" applyFont="1" applyBorder="1" applyAlignment="1" applyProtection="1">
      <alignment vertical="top"/>
    </xf>
    <xf numFmtId="1" fontId="3" fillId="0" borderId="44" xfId="0" applyNumberFormat="1" applyFont="1" applyBorder="1" applyProtection="1"/>
    <xf numFmtId="165" fontId="3" fillId="0" borderId="67" xfId="0" applyNumberFormat="1" applyFont="1" applyBorder="1" applyAlignment="1" applyProtection="1">
      <alignment horizontal="left" vertical="top"/>
    </xf>
    <xf numFmtId="1" fontId="14" fillId="0" borderId="68" xfId="0" applyNumberFormat="1" applyFont="1" applyBorder="1" applyProtection="1"/>
    <xf numFmtId="1" fontId="3" fillId="0" borderId="68" xfId="0" applyNumberFormat="1" applyFont="1" applyBorder="1" applyProtection="1"/>
    <xf numFmtId="165" fontId="3" fillId="0" borderId="68" xfId="0" applyNumberFormat="1" applyFont="1" applyBorder="1" applyProtection="1"/>
    <xf numFmtId="0" fontId="19" fillId="0" borderId="44" xfId="0" applyFont="1" applyBorder="1"/>
    <xf numFmtId="165" fontId="3" fillId="0" borderId="44" xfId="0" applyNumberFormat="1" applyFont="1" applyBorder="1" applyAlignment="1" applyProtection="1">
      <alignment shrinkToFit="1"/>
    </xf>
    <xf numFmtId="0" fontId="19" fillId="0" borderId="68" xfId="0" applyFont="1" applyBorder="1"/>
    <xf numFmtId="165" fontId="3" fillId="0" borderId="191" xfId="0" applyNumberFormat="1" applyFont="1" applyBorder="1" applyAlignment="1" applyProtection="1">
      <alignment horizontal="left" vertical="top"/>
    </xf>
    <xf numFmtId="165" fontId="3" fillId="0" borderId="192" xfId="0" applyNumberFormat="1" applyFont="1" applyBorder="1" applyAlignment="1" applyProtection="1">
      <alignment horizontal="center" vertical="center"/>
    </xf>
    <xf numFmtId="1" fontId="3" fillId="0" borderId="192" xfId="0" applyNumberFormat="1" applyFont="1" applyBorder="1" applyAlignment="1" applyProtection="1">
      <alignment vertical="top"/>
    </xf>
    <xf numFmtId="1" fontId="3" fillId="0" borderId="192" xfId="0" applyNumberFormat="1" applyFont="1" applyBorder="1" applyAlignment="1" applyProtection="1">
      <alignment horizontal="center" shrinkToFit="1"/>
    </xf>
    <xf numFmtId="1" fontId="3" fillId="0" borderId="193" xfId="0" applyNumberFormat="1" applyFont="1" applyBorder="1" applyAlignment="1" applyProtection="1">
      <alignment horizontal="center" shrinkToFit="1"/>
    </xf>
    <xf numFmtId="165" fontId="3" fillId="0" borderId="43" xfId="0" applyNumberFormat="1" applyFont="1" applyBorder="1" applyAlignment="1" applyProtection="1">
      <alignment horizontal="left" vertical="top"/>
    </xf>
    <xf numFmtId="165" fontId="3" fillId="0" borderId="194" xfId="0" applyNumberFormat="1" applyFont="1" applyBorder="1" applyAlignment="1" applyProtection="1">
      <alignment horizontal="left" vertical="top"/>
    </xf>
    <xf numFmtId="165" fontId="3" fillId="0" borderId="46" xfId="0" applyNumberFormat="1" applyFont="1" applyBorder="1" applyProtection="1"/>
    <xf numFmtId="1" fontId="3" fillId="0" borderId="46" xfId="0" applyNumberFormat="1" applyFont="1" applyBorder="1" applyProtection="1"/>
    <xf numFmtId="1" fontId="14" fillId="0" borderId="46" xfId="0" applyNumberFormat="1" applyFont="1" applyBorder="1" applyProtection="1"/>
    <xf numFmtId="3" fontId="3" fillId="0" borderId="195" xfId="0" applyNumberFormat="1" applyFont="1" applyBorder="1" applyAlignment="1" applyProtection="1">
      <alignment shrinkToFit="1"/>
    </xf>
    <xf numFmtId="165" fontId="11" fillId="0" borderId="191" xfId="0" applyNumberFormat="1" applyFont="1" applyBorder="1" applyAlignment="1" applyProtection="1">
      <alignment horizontal="left" vertical="top"/>
    </xf>
    <xf numFmtId="165" fontId="3" fillId="0" borderId="192" xfId="0" applyNumberFormat="1" applyFont="1" applyBorder="1" applyProtection="1"/>
    <xf numFmtId="0" fontId="0" fillId="0" borderId="43" xfId="0" applyBorder="1" applyAlignment="1">
      <alignment horizontal="left" vertical="top"/>
    </xf>
    <xf numFmtId="3" fontId="3" fillId="0" borderId="45" xfId="0" applyNumberFormat="1" applyFont="1" applyBorder="1" applyAlignment="1" applyProtection="1">
      <alignment shrinkToFit="1"/>
    </xf>
    <xf numFmtId="0" fontId="0" fillId="0" borderId="194" xfId="0" applyBorder="1" applyAlignment="1">
      <alignment horizontal="left" vertical="top"/>
    </xf>
    <xf numFmtId="168" fontId="3" fillId="0" borderId="44" xfId="0" applyNumberFormat="1" applyFont="1" applyBorder="1" applyAlignment="1" applyProtection="1">
      <alignment vertical="center"/>
    </xf>
    <xf numFmtId="0" fontId="0" fillId="0" borderId="192" xfId="0" applyBorder="1"/>
    <xf numFmtId="165" fontId="23" fillId="0" borderId="43" xfId="0" applyNumberFormat="1" applyFont="1" applyBorder="1" applyAlignment="1" applyProtection="1">
      <alignment horizontal="left" vertical="top" shrinkToFit="1"/>
    </xf>
    <xf numFmtId="166" fontId="18" fillId="0" borderId="44" xfId="0" applyNumberFormat="1" applyFont="1" applyBorder="1" applyProtection="1"/>
    <xf numFmtId="0" fontId="15" fillId="0" borderId="44" xfId="0" applyFont="1" applyBorder="1" applyAlignment="1"/>
    <xf numFmtId="165" fontId="14" fillId="0" borderId="46" xfId="0" applyNumberFormat="1" applyFont="1" applyBorder="1" applyAlignment="1" applyProtection="1">
      <alignment shrinkToFit="1"/>
    </xf>
    <xf numFmtId="165" fontId="23" fillId="0" borderId="191" xfId="0" applyNumberFormat="1" applyFont="1" applyBorder="1" applyAlignment="1" applyProtection="1">
      <alignment horizontal="left" vertical="top" shrinkToFit="1"/>
    </xf>
    <xf numFmtId="166" fontId="18" fillId="0" borderId="192" xfId="0" applyNumberFormat="1" applyFont="1" applyBorder="1" applyProtection="1"/>
    <xf numFmtId="0" fontId="0" fillId="0" borderId="192" xfId="0" applyBorder="1" applyAlignment="1">
      <alignment shrinkToFit="1"/>
    </xf>
    <xf numFmtId="165" fontId="14" fillId="0" borderId="192" xfId="0" applyNumberFormat="1" applyFont="1" applyBorder="1" applyAlignment="1" applyProtection="1">
      <alignment shrinkToFit="1"/>
    </xf>
    <xf numFmtId="3" fontId="3" fillId="0" borderId="192" xfId="0" applyNumberFormat="1" applyFont="1" applyBorder="1" applyAlignment="1" applyProtection="1">
      <alignment vertical="top"/>
    </xf>
    <xf numFmtId="3" fontId="3" fillId="0" borderId="192" xfId="0" applyNumberFormat="1" applyFont="1" applyBorder="1" applyAlignment="1" applyProtection="1">
      <alignment shrinkToFit="1"/>
    </xf>
    <xf numFmtId="3" fontId="3" fillId="0" borderId="193" xfId="0" applyNumberFormat="1" applyFont="1" applyBorder="1" applyAlignment="1" applyProtection="1">
      <alignment shrinkToFit="1"/>
    </xf>
    <xf numFmtId="165" fontId="23" fillId="0" borderId="194" xfId="0" applyNumberFormat="1" applyFont="1" applyBorder="1" applyAlignment="1" applyProtection="1">
      <alignment horizontal="left" vertical="top" shrinkToFit="1"/>
    </xf>
    <xf numFmtId="166" fontId="18" fillId="0" borderId="46" xfId="0" applyNumberFormat="1" applyFont="1" applyBorder="1" applyProtection="1"/>
    <xf numFmtId="0" fontId="0" fillId="0" borderId="46" xfId="0" applyBorder="1" applyAlignment="1">
      <alignment shrinkToFit="1"/>
    </xf>
    <xf numFmtId="165" fontId="23" fillId="0" borderId="191" xfId="0" applyNumberFormat="1" applyFont="1" applyBorder="1" applyAlignment="1" applyProtection="1">
      <alignment horizontal="left" vertical="top"/>
    </xf>
    <xf numFmtId="0" fontId="19" fillId="0" borderId="192" xfId="0" applyFont="1" applyBorder="1"/>
    <xf numFmtId="3" fontId="3" fillId="0" borderId="44" xfId="0" applyNumberFormat="1" applyFont="1" applyBorder="1" applyAlignment="1" applyProtection="1">
      <alignment horizontal="center"/>
    </xf>
    <xf numFmtId="3" fontId="3" fillId="0" borderId="66" xfId="0" applyNumberFormat="1" applyFont="1" applyBorder="1" applyAlignment="1" applyProtection="1">
      <alignment horizontal="center"/>
    </xf>
    <xf numFmtId="1" fontId="3" fillId="0" borderId="44" xfId="0" applyNumberFormat="1" applyFont="1" applyBorder="1" applyAlignment="1" applyProtection="1">
      <alignment vertical="top" wrapText="1"/>
    </xf>
    <xf numFmtId="1" fontId="3" fillId="0" borderId="44" xfId="0" applyNumberFormat="1" applyFont="1" applyBorder="1" applyAlignment="1" applyProtection="1">
      <alignment horizontal="left" vertical="top" wrapText="1" indent="1"/>
    </xf>
    <xf numFmtId="1" fontId="29" fillId="0" borderId="44" xfId="0" applyNumberFormat="1" applyFont="1" applyBorder="1" applyAlignment="1" applyProtection="1">
      <alignment horizontal="left" vertical="top"/>
    </xf>
    <xf numFmtId="1" fontId="3" fillId="0" borderId="68" xfId="0" applyNumberFormat="1" applyFont="1" applyBorder="1"/>
    <xf numFmtId="165" fontId="13" fillId="0" borderId="68" xfId="0" applyNumberFormat="1" applyFont="1" applyBorder="1"/>
    <xf numFmtId="165" fontId="3" fillId="0" borderId="46" xfId="0" applyNumberFormat="1" applyFont="1" applyBorder="1" applyAlignment="1" applyProtection="1">
      <alignment horizontal="center" vertical="center"/>
    </xf>
    <xf numFmtId="1" fontId="3" fillId="0" borderId="46" xfId="0" applyNumberFormat="1" applyFont="1" applyBorder="1" applyAlignment="1" applyProtection="1">
      <alignment vertical="top"/>
    </xf>
    <xf numFmtId="0" fontId="8" fillId="0" borderId="46" xfId="0" applyFont="1" applyBorder="1"/>
    <xf numFmtId="165" fontId="3" fillId="0" borderId="46" xfId="0" applyNumberFormat="1" applyFont="1" applyBorder="1" applyAlignment="1" applyProtection="1">
      <alignment horizontal="right"/>
    </xf>
    <xf numFmtId="168" fontId="3" fillId="0" borderId="46" xfId="0" applyNumberFormat="1" applyFont="1" applyBorder="1" applyProtection="1"/>
    <xf numFmtId="0" fontId="19" fillId="0" borderId="46" xfId="0" applyFont="1" applyBorder="1"/>
    <xf numFmtId="167" fontId="3" fillId="0" borderId="46" xfId="0" applyNumberFormat="1" applyFont="1" applyBorder="1" applyProtection="1"/>
    <xf numFmtId="0" fontId="3" fillId="0" borderId="46" xfId="0" applyFont="1" applyBorder="1"/>
    <xf numFmtId="167" fontId="3" fillId="0" borderId="44" xfId="0" applyNumberFormat="1" applyFont="1" applyBorder="1" applyProtection="1"/>
    <xf numFmtId="0" fontId="3" fillId="0" borderId="44" xfId="0" applyFont="1" applyBorder="1"/>
    <xf numFmtId="165" fontId="18" fillId="0" borderId="46" xfId="0" applyNumberFormat="1" applyFont="1" applyBorder="1" applyAlignment="1" applyProtection="1">
      <alignment horizontal="justify" vertical="top"/>
    </xf>
    <xf numFmtId="0" fontId="4" fillId="0" borderId="46" xfId="0" applyFont="1" applyBorder="1" applyAlignment="1">
      <alignment horizontal="left" vertical="top"/>
    </xf>
    <xf numFmtId="165" fontId="3" fillId="0" borderId="192" xfId="0" applyNumberFormat="1" applyFont="1" applyBorder="1" applyAlignment="1" applyProtection="1">
      <alignment horizontal="right"/>
    </xf>
    <xf numFmtId="165" fontId="3" fillId="0" borderId="197" xfId="0" applyNumberFormat="1" applyFont="1" applyBorder="1" applyAlignment="1" applyProtection="1">
      <alignment horizontal="left" vertical="top"/>
    </xf>
    <xf numFmtId="1" fontId="14" fillId="0" borderId="197" xfId="0" applyNumberFormat="1" applyFont="1" applyBorder="1" applyProtection="1"/>
    <xf numFmtId="1" fontId="3" fillId="0" borderId="197" xfId="0" applyNumberFormat="1" applyFont="1" applyBorder="1" applyProtection="1"/>
    <xf numFmtId="1" fontId="3" fillId="0" borderId="197" xfId="0" applyNumberFormat="1" applyFont="1" applyBorder="1" applyAlignment="1" applyProtection="1">
      <alignment shrinkToFit="1"/>
    </xf>
    <xf numFmtId="3" fontId="4" fillId="0" borderId="197" xfId="2" applyNumberFormat="1" applyFont="1" applyBorder="1" applyAlignment="1" applyProtection="1">
      <alignment vertical="top"/>
    </xf>
    <xf numFmtId="1" fontId="3" fillId="0" borderId="197" xfId="0" applyNumberFormat="1" applyFont="1" applyBorder="1"/>
    <xf numFmtId="165" fontId="13" fillId="0" borderId="197" xfId="0" applyNumberFormat="1" applyFont="1" applyBorder="1"/>
    <xf numFmtId="3" fontId="0" fillId="0" borderId="197" xfId="0" applyNumberFormat="1" applyBorder="1"/>
    <xf numFmtId="165" fontId="3" fillId="0" borderId="199" xfId="0" applyNumberFormat="1" applyFont="1" applyBorder="1" applyAlignment="1" applyProtection="1">
      <alignment horizontal="left" vertical="top"/>
    </xf>
    <xf numFmtId="0" fontId="0" fillId="0" borderId="162" xfId="0" applyBorder="1"/>
    <xf numFmtId="1" fontId="14" fillId="0" borderId="44" xfId="0" applyNumberFormat="1" applyFont="1" applyBorder="1" applyAlignment="1">
      <alignment horizontal="center" vertical="center"/>
    </xf>
    <xf numFmtId="1" fontId="14" fillId="0" borderId="66" xfId="0" applyNumberFormat="1" applyFont="1" applyBorder="1" applyAlignment="1">
      <alignment horizontal="center" vertical="center"/>
    </xf>
    <xf numFmtId="4" fontId="29" fillId="0" borderId="53" xfId="0" applyNumberFormat="1" applyFont="1" applyBorder="1" applyAlignment="1" applyProtection="1">
      <alignment horizontal="right" shrinkToFit="1"/>
    </xf>
    <xf numFmtId="4" fontId="14" fillId="0" borderId="53" xfId="0" applyNumberFormat="1" applyFont="1" applyBorder="1" applyAlignment="1" applyProtection="1">
      <alignment vertical="top"/>
    </xf>
    <xf numFmtId="4" fontId="29" fillId="0" borderId="145" xfId="0" applyNumberFormat="1" applyFont="1" applyBorder="1" applyAlignment="1" applyProtection="1">
      <alignment horizontal="right" shrinkToFit="1"/>
    </xf>
    <xf numFmtId="166" fontId="14" fillId="0" borderId="44" xfId="0" applyNumberFormat="1" applyFont="1" applyBorder="1" applyAlignment="1" applyProtection="1">
      <alignment shrinkToFit="1"/>
    </xf>
    <xf numFmtId="166" fontId="14" fillId="0" borderId="44" xfId="0" applyNumberFormat="1" applyFont="1" applyBorder="1" applyAlignment="1" applyProtection="1">
      <alignment vertical="top"/>
    </xf>
    <xf numFmtId="166" fontId="14" fillId="0" borderId="66" xfId="0" applyNumberFormat="1" applyFont="1" applyBorder="1" applyAlignment="1" applyProtection="1">
      <alignment shrinkToFit="1"/>
    </xf>
    <xf numFmtId="166" fontId="14" fillId="0" borderId="68" xfId="0" applyNumberFormat="1" applyFont="1" applyBorder="1" applyProtection="1"/>
    <xf numFmtId="165" fontId="14" fillId="0" borderId="68" xfId="0" applyNumberFormat="1" applyFont="1" applyBorder="1" applyAlignment="1" applyProtection="1">
      <alignment shrinkToFit="1"/>
    </xf>
    <xf numFmtId="165" fontId="14" fillId="0" borderId="68" xfId="0" applyNumberFormat="1" applyFont="1" applyBorder="1" applyAlignment="1" applyProtection="1">
      <alignment vertical="top"/>
    </xf>
    <xf numFmtId="165" fontId="14" fillId="0" borderId="69" xfId="0" applyNumberFormat="1" applyFont="1" applyBorder="1" applyAlignment="1" applyProtection="1">
      <alignment shrinkToFit="1"/>
    </xf>
    <xf numFmtId="1" fontId="14" fillId="0" borderId="121" xfId="0" applyNumberFormat="1" applyFont="1" applyBorder="1" applyAlignment="1" applyProtection="1">
      <alignment horizontal="center" shrinkToFit="1"/>
    </xf>
    <xf numFmtId="1" fontId="14" fillId="0" borderId="121" xfId="0" applyNumberFormat="1" applyFont="1" applyBorder="1" applyAlignment="1" applyProtection="1">
      <alignment vertical="top"/>
    </xf>
    <xf numFmtId="1" fontId="14" fillId="0" borderId="122" xfId="0" applyNumberFormat="1" applyFont="1" applyBorder="1" applyAlignment="1" applyProtection="1">
      <alignment horizontal="center" shrinkToFit="1"/>
    </xf>
    <xf numFmtId="165" fontId="14" fillId="0" borderId="192" xfId="0" applyNumberFormat="1" applyFont="1" applyBorder="1" applyAlignment="1" applyProtection="1">
      <alignment horizontal="center"/>
    </xf>
    <xf numFmtId="165" fontId="14" fillId="0" borderId="192" xfId="0" applyNumberFormat="1" applyFont="1" applyBorder="1" applyAlignment="1" applyProtection="1">
      <alignment horizontal="center" vertical="top"/>
    </xf>
    <xf numFmtId="165" fontId="14" fillId="0" borderId="92" xfId="0" applyNumberFormat="1" applyFont="1" applyBorder="1" applyAlignment="1" applyProtection="1">
      <alignment horizontal="center" wrapText="1"/>
    </xf>
    <xf numFmtId="0" fontId="29" fillId="0" borderId="93" xfId="0" applyFont="1" applyBorder="1" applyAlignment="1">
      <alignment horizontal="center" wrapText="1"/>
    </xf>
    <xf numFmtId="0" fontId="29" fillId="0" borderId="93" xfId="0" applyFont="1" applyBorder="1" applyAlignment="1">
      <alignment vertical="top"/>
    </xf>
    <xf numFmtId="0" fontId="29" fillId="0" borderId="94" xfId="0" applyFont="1" applyBorder="1" applyAlignment="1">
      <alignment horizontal="center" wrapText="1"/>
    </xf>
    <xf numFmtId="165" fontId="14" fillId="0" borderId="92" xfId="0" applyNumberFormat="1" applyFont="1" applyBorder="1" applyAlignment="1" applyProtection="1">
      <alignment horizontal="center" vertical="center" wrapText="1"/>
    </xf>
    <xf numFmtId="165" fontId="14" fillId="0" borderId="93" xfId="0" applyNumberFormat="1" applyFont="1" applyBorder="1" applyAlignment="1" applyProtection="1">
      <alignment horizontal="center" vertical="center" wrapText="1"/>
    </xf>
    <xf numFmtId="165" fontId="14" fillId="0" borderId="95" xfId="0" applyNumberFormat="1" applyFont="1" applyBorder="1" applyAlignment="1" applyProtection="1">
      <alignment horizontal="center" vertical="center" wrapText="1"/>
    </xf>
    <xf numFmtId="165" fontId="14" fillId="0" borderId="93" xfId="0" applyNumberFormat="1" applyFont="1" applyBorder="1" applyAlignment="1">
      <alignment horizontal="center" wrapText="1"/>
    </xf>
    <xf numFmtId="0" fontId="29" fillId="0" borderId="93" xfId="0" applyFont="1" applyBorder="1"/>
    <xf numFmtId="0" fontId="14" fillId="0" borderId="97" xfId="0" applyFont="1" applyBorder="1" applyAlignment="1">
      <alignment horizontal="center" wrapText="1"/>
    </xf>
    <xf numFmtId="0" fontId="14" fillId="0" borderId="93" xfId="0" applyFont="1" applyBorder="1" applyAlignment="1">
      <alignment horizontal="center" wrapText="1"/>
    </xf>
    <xf numFmtId="0" fontId="14" fillId="0" borderId="94" xfId="0" applyFont="1" applyBorder="1" applyAlignment="1">
      <alignment horizontal="center" wrapText="1"/>
    </xf>
    <xf numFmtId="165" fontId="14" fillId="0" borderId="34" xfId="0" applyNumberFormat="1" applyFont="1" applyBorder="1" applyProtection="1"/>
    <xf numFmtId="165" fontId="14" fillId="0" borderId="35" xfId="0" applyNumberFormat="1" applyFont="1" applyBorder="1" applyAlignment="1" applyProtection="1">
      <alignment horizontal="center"/>
    </xf>
    <xf numFmtId="165" fontId="14" fillId="0" borderId="35" xfId="0" applyNumberFormat="1" applyFont="1" applyBorder="1" applyAlignment="1" applyProtection="1">
      <alignment horizontal="center" shrinkToFit="1"/>
    </xf>
    <xf numFmtId="165" fontId="14" fillId="0" borderId="5" xfId="0" applyNumberFormat="1" applyFont="1" applyBorder="1" applyAlignment="1" applyProtection="1">
      <alignment shrinkToFit="1"/>
    </xf>
    <xf numFmtId="165" fontId="14" fillId="0" borderId="91" xfId="0" applyNumberFormat="1" applyFont="1" applyBorder="1" applyAlignment="1" applyProtection="1">
      <alignment vertical="top"/>
    </xf>
    <xf numFmtId="0" fontId="29" fillId="0" borderId="98" xfId="0" applyFont="1" applyBorder="1"/>
    <xf numFmtId="0" fontId="14" fillId="0" borderId="90" xfId="0" applyFont="1" applyBorder="1" applyAlignment="1">
      <alignment horizontal="left"/>
    </xf>
    <xf numFmtId="165" fontId="14" fillId="0" borderId="7" xfId="0" applyNumberFormat="1" applyFont="1" applyBorder="1" applyProtection="1"/>
    <xf numFmtId="3" fontId="14" fillId="0" borderId="4" xfId="0" applyNumberFormat="1" applyFont="1" applyBorder="1" applyAlignment="1" applyProtection="1">
      <alignment shrinkToFit="1"/>
    </xf>
    <xf numFmtId="165" fontId="14" fillId="0" borderId="8" xfId="0" applyNumberFormat="1" applyFont="1" applyBorder="1" applyAlignment="1" applyProtection="1">
      <alignment horizontal="left"/>
    </xf>
    <xf numFmtId="165" fontId="14" fillId="0" borderId="8" xfId="0" applyNumberFormat="1" applyFont="1" applyBorder="1" applyProtection="1"/>
    <xf numFmtId="165" fontId="14" fillId="0" borderId="8" xfId="0" applyNumberFormat="1" applyFont="1" applyBorder="1" applyAlignment="1" applyProtection="1">
      <alignment horizontal="left" vertical="center" textRotation="90" wrapText="1"/>
    </xf>
    <xf numFmtId="3" fontId="14" fillId="0" borderId="26" xfId="0" applyNumberFormat="1" applyFont="1" applyBorder="1" applyAlignment="1" applyProtection="1">
      <alignment shrinkToFit="1"/>
    </xf>
    <xf numFmtId="3" fontId="14" fillId="0" borderId="27" xfId="0" applyNumberFormat="1" applyFont="1" applyBorder="1" applyAlignment="1" applyProtection="1">
      <alignment shrinkToFit="1"/>
    </xf>
    <xf numFmtId="165" fontId="14" fillId="0" borderId="7" xfId="0" applyNumberFormat="1" applyFont="1" applyBorder="1" applyAlignment="1" applyProtection="1">
      <alignment horizontal="left"/>
    </xf>
    <xf numFmtId="165" fontId="14" fillId="0" borderId="25" xfId="0" applyNumberFormat="1" applyFont="1" applyBorder="1" applyProtection="1"/>
    <xf numFmtId="0" fontId="29" fillId="0" borderId="8" xfId="0" applyFont="1" applyBorder="1" applyAlignment="1">
      <alignment vertical="center" textRotation="90" wrapText="1"/>
    </xf>
    <xf numFmtId="0" fontId="14" fillId="0" borderId="25" xfId="0" applyFont="1" applyBorder="1"/>
    <xf numFmtId="0" fontId="14" fillId="0" borderId="98" xfId="0" applyFont="1" applyBorder="1" applyAlignment="1">
      <alignment horizontal="center" vertical="center" wrapText="1"/>
    </xf>
    <xf numFmtId="3" fontId="14" fillId="0" borderId="35" xfId="0" applyNumberFormat="1" applyFont="1" applyBorder="1" applyAlignment="1" applyProtection="1">
      <alignment shrinkToFit="1"/>
    </xf>
    <xf numFmtId="3" fontId="14" fillId="0" borderId="35" xfId="0" applyNumberFormat="1" applyFont="1" applyBorder="1" applyAlignment="1">
      <alignment shrinkToFit="1"/>
    </xf>
    <xf numFmtId="3" fontId="14" fillId="0" borderId="19" xfId="0" applyNumberFormat="1" applyFont="1" applyBorder="1" applyAlignment="1">
      <alignment shrinkToFit="1"/>
    </xf>
    <xf numFmtId="1" fontId="14" fillId="0" borderId="28" xfId="0" applyNumberFormat="1" applyFont="1" applyBorder="1" applyAlignment="1">
      <alignment vertical="top"/>
    </xf>
    <xf numFmtId="0" fontId="29" fillId="0" borderId="89" xfId="0" applyFont="1" applyBorder="1" applyAlignment="1">
      <alignment horizontal="left" vertical="justify" wrapText="1" indent="1"/>
    </xf>
    <xf numFmtId="1" fontId="14" fillId="0" borderId="14" xfId="0" applyNumberFormat="1" applyFont="1" applyBorder="1" applyAlignment="1">
      <alignment shrinkToFit="1"/>
    </xf>
    <xf numFmtId="1" fontId="14" fillId="0" borderId="14" xfId="0" applyNumberFormat="1" applyFont="1" applyBorder="1" applyAlignment="1" applyProtection="1">
      <alignment shrinkToFit="1"/>
    </xf>
    <xf numFmtId="3" fontId="29" fillId="0" borderId="101" xfId="0" applyNumberFormat="1" applyFont="1" applyBorder="1" applyAlignment="1">
      <alignment vertical="top" wrapText="1" shrinkToFit="1"/>
    </xf>
    <xf numFmtId="3" fontId="14" fillId="0" borderId="87" xfId="0" applyNumberFormat="1" applyFont="1" applyBorder="1" applyAlignment="1" applyProtection="1">
      <alignment shrinkToFit="1"/>
    </xf>
    <xf numFmtId="3" fontId="14" fillId="0" borderId="102" xfId="0" applyNumberFormat="1" applyFont="1" applyBorder="1" applyAlignment="1" applyProtection="1">
      <alignment shrinkToFit="1"/>
    </xf>
    <xf numFmtId="0" fontId="14" fillId="0" borderId="103" xfId="0" applyFont="1" applyBorder="1" applyAlignment="1">
      <alignment horizontal="center" vertical="center" wrapText="1"/>
    </xf>
    <xf numFmtId="2" fontId="14" fillId="0" borderId="4" xfId="0" applyNumberFormat="1" applyFont="1" applyBorder="1" applyProtection="1"/>
    <xf numFmtId="3" fontId="14" fillId="0" borderId="12" xfId="0" applyNumberFormat="1" applyFont="1" applyBorder="1" applyAlignment="1" applyProtection="1">
      <alignment shrinkToFit="1"/>
    </xf>
    <xf numFmtId="2" fontId="14" fillId="0" borderId="0" xfId="0" applyNumberFormat="1" applyFont="1" applyBorder="1" applyProtection="1"/>
    <xf numFmtId="3" fontId="14" fillId="0" borderId="0" xfId="0" applyNumberFormat="1" applyFont="1" applyBorder="1" applyAlignment="1" applyProtection="1">
      <alignment shrinkToFit="1"/>
    </xf>
    <xf numFmtId="1" fontId="14" fillId="0" borderId="44" xfId="0" applyNumberFormat="1" applyFont="1" applyBorder="1" applyAlignment="1" applyProtection="1">
      <alignment horizontal="center"/>
    </xf>
    <xf numFmtId="1" fontId="14" fillId="0" borderId="66" xfId="0" applyNumberFormat="1" applyFont="1" applyBorder="1" applyAlignment="1" applyProtection="1">
      <alignment horizontal="center"/>
    </xf>
    <xf numFmtId="1" fontId="3" fillId="0" borderId="46" xfId="0" applyNumberFormat="1" applyFont="1" applyBorder="1" applyAlignment="1" applyProtection="1">
      <alignment horizontal="center"/>
    </xf>
    <xf numFmtId="1" fontId="3" fillId="0" borderId="111" xfId="0" applyNumberFormat="1" applyFont="1" applyBorder="1" applyAlignment="1" applyProtection="1">
      <alignment horizontal="center"/>
    </xf>
    <xf numFmtId="0" fontId="13" fillId="0" borderId="44" xfId="0" applyFont="1" applyBorder="1" applyAlignment="1">
      <alignment horizontal="center"/>
    </xf>
    <xf numFmtId="165" fontId="3" fillId="2" borderId="44" xfId="0" applyNumberFormat="1" applyFont="1" applyFill="1" applyBorder="1" applyAlignment="1" applyProtection="1">
      <alignment horizontal="center"/>
    </xf>
    <xf numFmtId="2" fontId="14" fillId="0" borderId="203" xfId="0" applyNumberFormat="1" applyFont="1" applyBorder="1" applyAlignment="1" applyProtection="1">
      <alignment horizontal="center" shrinkToFit="1"/>
    </xf>
    <xf numFmtId="2" fontId="13" fillId="0" borderId="203" xfId="0" applyNumberFormat="1" applyFont="1" applyBorder="1" applyAlignment="1">
      <alignment horizontal="center" shrinkToFit="1"/>
    </xf>
    <xf numFmtId="3" fontId="13" fillId="0" borderId="203" xfId="0" applyNumberFormat="1" applyFont="1" applyBorder="1" applyAlignment="1">
      <alignment horizontal="center" shrinkToFit="1"/>
    </xf>
    <xf numFmtId="3" fontId="13" fillId="0" borderId="205" xfId="0" applyNumberFormat="1" applyFont="1" applyBorder="1" applyAlignment="1">
      <alignment horizontal="center" shrinkToFit="1"/>
    </xf>
    <xf numFmtId="3" fontId="13" fillId="0" borderId="201" xfId="0" applyNumberFormat="1" applyFont="1" applyBorder="1" applyAlignment="1">
      <alignment horizontal="center" shrinkToFit="1"/>
    </xf>
    <xf numFmtId="3" fontId="13" fillId="0" borderId="201" xfId="0" applyNumberFormat="1" applyFont="1" applyBorder="1" applyAlignment="1">
      <alignment horizontal="center" vertical="center" shrinkToFit="1"/>
    </xf>
    <xf numFmtId="0" fontId="13" fillId="0" borderId="124" xfId="0" applyFont="1" applyBorder="1"/>
    <xf numFmtId="1" fontId="14" fillId="0" borderId="192" xfId="0" applyNumberFormat="1" applyFont="1" applyBorder="1" applyAlignment="1">
      <alignment horizontal="center" vertical="center"/>
    </xf>
    <xf numFmtId="1" fontId="14" fillId="0" borderId="208" xfId="0" applyNumberFormat="1" applyFont="1" applyBorder="1" applyAlignment="1">
      <alignment horizontal="center" vertical="center"/>
    </xf>
    <xf numFmtId="165" fontId="3" fillId="0" borderId="183" xfId="0" applyNumberFormat="1" applyFont="1" applyBorder="1" applyAlignment="1" applyProtection="1">
      <alignment vertical="top"/>
    </xf>
    <xf numFmtId="165" fontId="3" fillId="0" borderId="184" xfId="0" applyNumberFormat="1" applyFont="1" applyBorder="1" applyAlignment="1" applyProtection="1">
      <alignment vertical="top"/>
    </xf>
    <xf numFmtId="165" fontId="3" fillId="0" borderId="185" xfId="0" applyNumberFormat="1" applyFont="1" applyBorder="1" applyAlignment="1" applyProtection="1">
      <alignment vertical="top"/>
    </xf>
    <xf numFmtId="3" fontId="14" fillId="0" borderId="192" xfId="0" applyNumberFormat="1" applyFont="1" applyBorder="1" applyAlignment="1" applyProtection="1">
      <alignment shrinkToFit="1"/>
    </xf>
    <xf numFmtId="3" fontId="14" fillId="0" borderId="192" xfId="0" applyNumberFormat="1" applyFont="1" applyBorder="1" applyAlignment="1" applyProtection="1">
      <alignment vertical="top"/>
    </xf>
    <xf numFmtId="3" fontId="14" fillId="0" borderId="208" xfId="0" applyNumberFormat="1" applyFont="1" applyBorder="1" applyAlignment="1" applyProtection="1">
      <alignment shrinkToFit="1"/>
    </xf>
    <xf numFmtId="165" fontId="3" fillId="0" borderId="183" xfId="0" quotePrefix="1" applyNumberFormat="1" applyFont="1" applyBorder="1" applyAlignment="1" applyProtection="1"/>
    <xf numFmtId="165" fontId="3" fillId="0" borderId="184" xfId="0" quotePrefix="1" applyNumberFormat="1" applyFont="1" applyBorder="1" applyAlignment="1" applyProtection="1"/>
    <xf numFmtId="165" fontId="14" fillId="0" borderId="185" xfId="0" quotePrefix="1" applyNumberFormat="1" applyFont="1" applyBorder="1" applyAlignment="1" applyProtection="1"/>
    <xf numFmtId="165" fontId="3" fillId="0" borderId="207" xfId="0" applyNumberFormat="1" applyFont="1" applyBorder="1" applyProtection="1"/>
    <xf numFmtId="3" fontId="29" fillId="0" borderId="68" xfId="0" applyNumberFormat="1" applyFont="1" applyBorder="1" applyAlignment="1" applyProtection="1">
      <alignment horizontal="right" shrinkToFit="1"/>
    </xf>
    <xf numFmtId="3" fontId="29" fillId="0" borderId="69" xfId="0" applyNumberFormat="1" applyFont="1" applyBorder="1" applyAlignment="1" applyProtection="1">
      <alignment horizontal="right" shrinkToFit="1"/>
    </xf>
    <xf numFmtId="3" fontId="48" fillId="3" borderId="72" xfId="0" applyNumberFormat="1" applyFont="1" applyFill="1" applyBorder="1" applyAlignment="1" applyProtection="1">
      <alignment shrinkToFit="1"/>
    </xf>
    <xf numFmtId="3" fontId="48" fillId="3" borderId="73" xfId="0" applyNumberFormat="1" applyFont="1" applyFill="1" applyBorder="1" applyAlignment="1" applyProtection="1">
      <alignment shrinkToFit="1"/>
    </xf>
    <xf numFmtId="3" fontId="13" fillId="0" borderId="124" xfId="0" applyNumberFormat="1" applyFont="1" applyBorder="1" applyAlignment="1">
      <alignment horizontal="right"/>
    </xf>
    <xf numFmtId="3" fontId="13" fillId="0" borderId="0" xfId="0" applyNumberFormat="1" applyFont="1" applyAlignment="1">
      <alignment horizontal="right"/>
    </xf>
    <xf numFmtId="165" fontId="18" fillId="0" borderId="0" xfId="0" applyNumberFormat="1" applyFont="1" applyBorder="1" applyAlignment="1" applyProtection="1">
      <alignment horizontal="left" vertical="top"/>
    </xf>
    <xf numFmtId="165" fontId="18" fillId="0" borderId="0" xfId="0" applyNumberFormat="1" applyFont="1" applyBorder="1" applyAlignment="1" applyProtection="1">
      <alignment horizontal="center" vertical="center"/>
    </xf>
    <xf numFmtId="165" fontId="18" fillId="0" borderId="0" xfId="0" applyNumberFormat="1" applyFont="1" applyBorder="1" applyAlignment="1" applyProtection="1">
      <alignment vertical="top"/>
    </xf>
    <xf numFmtId="3" fontId="29" fillId="0" borderId="53" xfId="0" applyNumberFormat="1" applyFont="1" applyBorder="1" applyAlignment="1" applyProtection="1">
      <alignment horizontal="right" shrinkToFit="1"/>
    </xf>
    <xf numFmtId="3" fontId="14" fillId="0" borderId="53" xfId="0" applyNumberFormat="1" applyFont="1" applyBorder="1" applyAlignment="1" applyProtection="1">
      <alignment vertical="top"/>
    </xf>
    <xf numFmtId="3" fontId="29" fillId="0" borderId="145" xfId="0" applyNumberFormat="1" applyFont="1" applyBorder="1" applyAlignment="1" applyProtection="1">
      <alignment horizontal="right" shrinkToFit="1"/>
    </xf>
    <xf numFmtId="4" fontId="29" fillId="0" borderId="44" xfId="0" applyNumberFormat="1" applyFont="1" applyBorder="1" applyAlignment="1" applyProtection="1">
      <alignment horizontal="right" shrinkToFit="1"/>
    </xf>
    <xf numFmtId="4" fontId="14" fillId="0" borderId="44" xfId="0" applyNumberFormat="1" applyFont="1" applyBorder="1" applyAlignment="1" applyProtection="1">
      <alignment vertical="top"/>
    </xf>
    <xf numFmtId="4" fontId="29" fillId="0" borderId="66" xfId="0" applyNumberFormat="1" applyFont="1" applyBorder="1" applyAlignment="1" applyProtection="1">
      <alignment horizontal="right" shrinkToFit="1"/>
    </xf>
    <xf numFmtId="1" fontId="25" fillId="0" borderId="209" xfId="0" applyNumberFormat="1" applyFont="1" applyBorder="1" applyAlignment="1">
      <alignment horizontal="left" vertical="top"/>
    </xf>
    <xf numFmtId="0" fontId="25" fillId="0" borderId="210" xfId="0" applyFont="1" applyBorder="1" applyAlignment="1">
      <alignment horizontal="center" vertical="center"/>
    </xf>
    <xf numFmtId="0" fontId="25" fillId="0" borderId="210" xfId="0" applyFont="1" applyBorder="1" applyAlignment="1">
      <alignment vertical="top"/>
    </xf>
    <xf numFmtId="165" fontId="3" fillId="0" borderId="211" xfId="0" applyNumberFormat="1" applyFont="1" applyBorder="1" applyAlignment="1" applyProtection="1">
      <alignment horizontal="center"/>
    </xf>
    <xf numFmtId="165" fontId="3" fillId="0" borderId="212" xfId="0" applyNumberFormat="1" applyFont="1" applyBorder="1" applyAlignment="1" applyProtection="1">
      <alignment horizontal="left" vertical="top"/>
    </xf>
    <xf numFmtId="165" fontId="14" fillId="0" borderId="208" xfId="0" applyNumberFormat="1" applyFont="1" applyBorder="1" applyAlignment="1" applyProtection="1">
      <alignment horizontal="center"/>
    </xf>
    <xf numFmtId="165" fontId="3" fillId="0" borderId="213" xfId="0" applyNumberFormat="1" applyFont="1" applyBorder="1" applyAlignment="1" applyProtection="1">
      <alignment horizontal="left" vertical="top"/>
    </xf>
    <xf numFmtId="165" fontId="3" fillId="0" borderId="214" xfId="0" applyNumberFormat="1" applyFont="1" applyBorder="1" applyAlignment="1" applyProtection="1">
      <alignment horizontal="left" vertical="top"/>
    </xf>
    <xf numFmtId="165" fontId="3" fillId="0" borderId="215" xfId="0" applyNumberFormat="1" applyFont="1" applyBorder="1" applyProtection="1"/>
    <xf numFmtId="165" fontId="3" fillId="0" borderId="216" xfId="0" applyNumberFormat="1" applyFont="1" applyBorder="1" applyProtection="1"/>
    <xf numFmtId="165" fontId="3" fillId="0" borderId="215" xfId="0" applyNumberFormat="1" applyFont="1" applyBorder="1" applyAlignment="1" applyProtection="1">
      <alignment horizontal="left"/>
    </xf>
    <xf numFmtId="0" fontId="19" fillId="0" borderId="198" xfId="0" applyFont="1" applyBorder="1" applyAlignment="1">
      <alignment horizontal="justify" vertical="top" wrapText="1"/>
    </xf>
    <xf numFmtId="0" fontId="19" fillId="0" borderId="198" xfId="0" applyFont="1" applyBorder="1" applyAlignment="1">
      <alignment vertical="top"/>
    </xf>
    <xf numFmtId="165" fontId="3" fillId="0" borderId="221" xfId="0" applyNumberFormat="1" applyFont="1" applyBorder="1" applyAlignment="1" applyProtection="1">
      <alignment horizontal="left" vertical="top"/>
    </xf>
    <xf numFmtId="165" fontId="3" fillId="0" borderId="222" xfId="0" applyNumberFormat="1" applyFont="1" applyBorder="1" applyProtection="1"/>
    <xf numFmtId="165" fontId="3" fillId="0" borderId="223" xfId="0" applyNumberFormat="1" applyFont="1" applyBorder="1" applyProtection="1"/>
    <xf numFmtId="1" fontId="14" fillId="0" borderId="178" xfId="0" applyNumberFormat="1" applyFont="1" applyBorder="1" applyAlignment="1" applyProtection="1">
      <alignment horizontal="left" vertical="top"/>
    </xf>
    <xf numFmtId="1" fontId="14" fillId="0" borderId="173" xfId="0" applyNumberFormat="1" applyFont="1" applyBorder="1" applyProtection="1"/>
    <xf numFmtId="0" fontId="15" fillId="0" borderId="173" xfId="0" applyFont="1" applyBorder="1"/>
    <xf numFmtId="1" fontId="14" fillId="0" borderId="179" xfId="0" applyNumberFormat="1" applyFont="1" applyBorder="1" applyProtection="1"/>
    <xf numFmtId="1" fontId="14" fillId="0" borderId="180" xfId="0" applyNumberFormat="1" applyFont="1" applyBorder="1" applyAlignment="1" applyProtection="1">
      <alignment horizontal="left" vertical="top"/>
    </xf>
    <xf numFmtId="1" fontId="14" fillId="0" borderId="181" xfId="0" applyNumberFormat="1" applyFont="1" applyBorder="1" applyProtection="1"/>
    <xf numFmtId="0" fontId="15" fillId="0" borderId="181" xfId="0" applyFont="1" applyBorder="1"/>
    <xf numFmtId="1" fontId="14" fillId="0" borderId="182" xfId="0" applyNumberFormat="1" applyFont="1" applyBorder="1" applyProtection="1"/>
    <xf numFmtId="1" fontId="3" fillId="0" borderId="178" xfId="0" applyNumberFormat="1" applyFont="1" applyBorder="1" applyAlignment="1" applyProtection="1">
      <alignment horizontal="left" vertical="top"/>
    </xf>
    <xf numFmtId="1" fontId="3" fillId="0" borderId="212" xfId="0" applyNumberFormat="1" applyFont="1" applyBorder="1" applyAlignment="1" applyProtection="1">
      <alignment horizontal="left" vertical="top"/>
    </xf>
    <xf numFmtId="1" fontId="9" fillId="0" borderId="180" xfId="0" applyNumberFormat="1" applyFont="1" applyBorder="1" applyAlignment="1" applyProtection="1">
      <alignment horizontal="left" vertical="top"/>
    </xf>
    <xf numFmtId="1" fontId="3" fillId="0" borderId="181" xfId="0" applyNumberFormat="1" applyFont="1" applyBorder="1" applyAlignment="1" applyProtection="1">
      <alignment horizontal="left"/>
    </xf>
    <xf numFmtId="1" fontId="9" fillId="0" borderId="181" xfId="0" applyNumberFormat="1" applyFont="1" applyBorder="1" applyAlignment="1" applyProtection="1">
      <alignment horizontal="center"/>
    </xf>
    <xf numFmtId="1" fontId="3" fillId="0" borderId="178" xfId="0" applyNumberFormat="1" applyFont="1" applyBorder="1" applyProtection="1"/>
    <xf numFmtId="1" fontId="3" fillId="0" borderId="173" xfId="0" applyNumberFormat="1" applyFont="1" applyBorder="1" applyAlignment="1" applyProtection="1">
      <alignment vertical="top"/>
    </xf>
    <xf numFmtId="1" fontId="3" fillId="0" borderId="173" xfId="0" applyNumberFormat="1" applyFont="1" applyBorder="1" applyAlignment="1" applyProtection="1">
      <alignment vertical="top" wrapText="1"/>
    </xf>
    <xf numFmtId="1" fontId="3" fillId="0" borderId="179" xfId="0" applyNumberFormat="1" applyFont="1" applyBorder="1" applyAlignment="1" applyProtection="1">
      <alignment vertical="top" wrapText="1"/>
    </xf>
    <xf numFmtId="1" fontId="3" fillId="0" borderId="180" xfId="0" applyNumberFormat="1" applyFont="1" applyBorder="1" applyProtection="1"/>
    <xf numFmtId="1" fontId="3" fillId="0" borderId="181" xfId="0" applyNumberFormat="1" applyFont="1" applyBorder="1" applyAlignment="1" applyProtection="1">
      <alignment horizontal="left" vertical="top" wrapText="1" indent="1"/>
    </xf>
    <xf numFmtId="0" fontId="0" fillId="0" borderId="181" xfId="0" applyBorder="1"/>
    <xf numFmtId="1" fontId="3" fillId="0" borderId="182" xfId="0" applyNumberFormat="1" applyFont="1" applyBorder="1" applyAlignment="1" applyProtection="1">
      <alignment horizontal="left" vertical="top" wrapText="1" indent="1"/>
    </xf>
    <xf numFmtId="165" fontId="3" fillId="0" borderId="180" xfId="0" applyNumberFormat="1" applyFont="1" applyBorder="1" applyAlignment="1" applyProtection="1">
      <alignment horizontal="left" vertical="top"/>
    </xf>
    <xf numFmtId="1" fontId="3" fillId="0" borderId="181" xfId="0" applyNumberFormat="1" applyFont="1" applyBorder="1" applyProtection="1"/>
    <xf numFmtId="165" fontId="3" fillId="0" borderId="142" xfId="0" applyNumberFormat="1" applyFont="1" applyBorder="1" applyAlignment="1" applyProtection="1">
      <alignment horizontal="left" vertical="top"/>
    </xf>
    <xf numFmtId="0" fontId="0" fillId="0" borderId="143" xfId="0" applyBorder="1"/>
    <xf numFmtId="3" fontId="3" fillId="0" borderId="143" xfId="0" applyNumberFormat="1" applyFont="1" applyBorder="1" applyAlignment="1" applyProtection="1">
      <alignment vertical="top"/>
    </xf>
    <xf numFmtId="3" fontId="3" fillId="0" borderId="143" xfId="0" applyNumberFormat="1" applyFont="1" applyBorder="1" applyAlignment="1" applyProtection="1">
      <alignment shrinkToFit="1"/>
    </xf>
    <xf numFmtId="3" fontId="0" fillId="0" borderId="143" xfId="0" applyNumberFormat="1" applyBorder="1" applyAlignment="1">
      <alignment shrinkToFit="1"/>
    </xf>
    <xf numFmtId="3" fontId="3" fillId="0" borderId="143" xfId="0" applyNumberFormat="1" applyFont="1" applyBorder="1" applyAlignment="1" applyProtection="1">
      <alignment horizontal="center" shrinkToFit="1"/>
    </xf>
    <xf numFmtId="3" fontId="3" fillId="0" borderId="144" xfId="0" applyNumberFormat="1" applyFont="1" applyBorder="1" applyAlignment="1" applyProtection="1">
      <alignment shrinkToFit="1"/>
    </xf>
    <xf numFmtId="0" fontId="19" fillId="0" borderId="53" xfId="0" applyFont="1" applyBorder="1"/>
    <xf numFmtId="165" fontId="3" fillId="0" borderId="53" xfId="0" applyNumberFormat="1" applyFont="1" applyBorder="1" applyAlignment="1" applyProtection="1">
      <alignment shrinkToFit="1"/>
    </xf>
    <xf numFmtId="165" fontId="3" fillId="0" borderId="232" xfId="0" applyNumberFormat="1" applyFont="1" applyBorder="1" applyProtection="1"/>
    <xf numFmtId="165" fontId="14" fillId="0" borderId="232" xfId="0" applyNumberFormat="1" applyFont="1" applyBorder="1" applyProtection="1"/>
    <xf numFmtId="3" fontId="14" fillId="0" borderId="232" xfId="0" applyNumberFormat="1" applyFont="1" applyBorder="1" applyAlignment="1" applyProtection="1">
      <alignment vertical="top"/>
    </xf>
    <xf numFmtId="3" fontId="14" fillId="0" borderId="232" xfId="0" applyNumberFormat="1" applyFont="1" applyBorder="1" applyAlignment="1" applyProtection="1">
      <alignment shrinkToFit="1"/>
    </xf>
    <xf numFmtId="3" fontId="29" fillId="0" borderId="232" xfId="0" applyNumberFormat="1" applyFont="1" applyBorder="1" applyAlignment="1">
      <alignment shrinkToFit="1"/>
    </xf>
    <xf numFmtId="3" fontId="14" fillId="0" borderId="232" xfId="0" applyNumberFormat="1" applyFont="1" applyBorder="1" applyAlignment="1" applyProtection="1">
      <alignment horizontal="center" shrinkToFit="1"/>
    </xf>
    <xf numFmtId="3" fontId="14" fillId="0" borderId="233" xfId="0" applyNumberFormat="1" applyFont="1" applyBorder="1" applyAlignment="1" applyProtection="1">
      <alignment shrinkToFit="1"/>
    </xf>
    <xf numFmtId="165" fontId="3" fillId="0" borderId="124" xfId="0" applyNumberFormat="1" applyFont="1" applyBorder="1" applyProtection="1"/>
    <xf numFmtId="0" fontId="19" fillId="0" borderId="124" xfId="0" applyFont="1" applyBorder="1"/>
    <xf numFmtId="165" fontId="3" fillId="0" borderId="124" xfId="0" applyNumberFormat="1" applyFont="1" applyBorder="1" applyAlignment="1" applyProtection="1">
      <alignment shrinkToFit="1"/>
    </xf>
    <xf numFmtId="165" fontId="18" fillId="0" borderId="124" xfId="0" applyNumberFormat="1" applyFont="1" applyBorder="1" applyProtection="1"/>
    <xf numFmtId="0" fontId="0" fillId="0" borderId="124" xfId="0" applyBorder="1"/>
    <xf numFmtId="165" fontId="18" fillId="0" borderId="230" xfId="0" applyNumberFormat="1" applyFont="1" applyBorder="1" applyAlignment="1" applyProtection="1">
      <alignment horizontal="left" vertical="top"/>
    </xf>
    <xf numFmtId="165" fontId="3" fillId="0" borderId="231" xfId="0" applyNumberFormat="1" applyFont="1" applyBorder="1" applyAlignment="1" applyProtection="1">
      <alignment horizontal="left" vertical="top"/>
    </xf>
    <xf numFmtId="0" fontId="19" fillId="0" borderId="232" xfId="0" applyFont="1" applyBorder="1"/>
    <xf numFmtId="165" fontId="3" fillId="0" borderId="232" xfId="0" applyNumberFormat="1" applyFont="1" applyBorder="1" applyAlignment="1" applyProtection="1">
      <alignment shrinkToFit="1"/>
    </xf>
    <xf numFmtId="165" fontId="3" fillId="0" borderId="234" xfId="0" applyNumberFormat="1" applyFont="1" applyBorder="1" applyAlignment="1" applyProtection="1">
      <alignment horizontal="left" vertical="top"/>
    </xf>
    <xf numFmtId="165" fontId="3" fillId="0" borderId="234" xfId="0" applyNumberFormat="1" applyFont="1" applyBorder="1" applyAlignment="1" applyProtection="1">
      <alignment horizontal="left" vertical="top" textRotation="90" wrapText="1"/>
    </xf>
    <xf numFmtId="0" fontId="19" fillId="0" borderId="234" xfId="0" applyFont="1" applyBorder="1" applyAlignment="1">
      <alignment horizontal="left" vertical="top" wrapText="1"/>
    </xf>
    <xf numFmtId="1" fontId="3" fillId="8" borderId="138" xfId="0" applyNumberFormat="1" applyFont="1" applyFill="1" applyBorder="1" applyAlignment="1" applyProtection="1">
      <alignment horizontal="center"/>
    </xf>
    <xf numFmtId="165" fontId="14" fillId="8" borderId="106" xfId="0" applyNumberFormat="1" applyFont="1" applyFill="1" applyBorder="1" applyAlignment="1" applyProtection="1">
      <alignment horizontal="center"/>
    </xf>
    <xf numFmtId="165" fontId="78" fillId="8" borderId="79" xfId="0" applyNumberFormat="1" applyFont="1" applyFill="1" applyBorder="1" applyAlignment="1" applyProtection="1">
      <alignment vertical="center"/>
    </xf>
    <xf numFmtId="165" fontId="40" fillId="8" borderId="118" xfId="0" applyNumberFormat="1" applyFont="1" applyFill="1" applyBorder="1" applyAlignment="1" applyProtection="1">
      <alignment vertical="center"/>
    </xf>
    <xf numFmtId="165" fontId="3" fillId="8" borderId="119" xfId="0" applyNumberFormat="1" applyFont="1" applyFill="1" applyBorder="1" applyAlignment="1" applyProtection="1">
      <alignment horizontal="center"/>
    </xf>
    <xf numFmtId="165" fontId="3" fillId="8" borderId="85" xfId="0" applyNumberFormat="1" applyFont="1" applyFill="1" applyBorder="1" applyAlignment="1" applyProtection="1">
      <alignment horizontal="center"/>
    </xf>
    <xf numFmtId="165" fontId="78" fillId="8" borderId="192" xfId="0" applyNumberFormat="1" applyFont="1" applyFill="1" applyBorder="1" applyProtection="1"/>
    <xf numFmtId="165" fontId="3" fillId="8" borderId="192" xfId="0" applyNumberFormat="1" applyFont="1" applyFill="1" applyBorder="1" applyProtection="1"/>
    <xf numFmtId="3" fontId="3" fillId="8" borderId="192" xfId="0" applyNumberFormat="1" applyFont="1" applyFill="1" applyBorder="1" applyAlignment="1" applyProtection="1">
      <alignment vertical="top"/>
    </xf>
    <xf numFmtId="1" fontId="78" fillId="8" borderId="192" xfId="0" applyNumberFormat="1" applyFont="1" applyFill="1" applyBorder="1" applyProtection="1"/>
    <xf numFmtId="1" fontId="3" fillId="8" borderId="192" xfId="0" applyNumberFormat="1" applyFont="1" applyFill="1" applyBorder="1" applyProtection="1"/>
    <xf numFmtId="3" fontId="3" fillId="8" borderId="192" xfId="0" applyNumberFormat="1" applyFont="1" applyFill="1" applyBorder="1" applyAlignment="1" applyProtection="1">
      <alignment shrinkToFit="1"/>
    </xf>
    <xf numFmtId="165" fontId="78" fillId="8" borderId="162" xfId="0" applyNumberFormat="1" applyFont="1" applyFill="1" applyBorder="1" applyProtection="1"/>
    <xf numFmtId="165" fontId="3" fillId="8" borderId="162" xfId="0" applyNumberFormat="1" applyFont="1" applyFill="1" applyBorder="1" applyAlignment="1" applyProtection="1">
      <alignment shrinkToFit="1"/>
    </xf>
    <xf numFmtId="165" fontId="78" fillId="8" borderId="143" xfId="0" applyNumberFormat="1" applyFont="1" applyFill="1" applyBorder="1" applyProtection="1"/>
    <xf numFmtId="165" fontId="3" fillId="8" borderId="143" xfId="0" applyNumberFormat="1" applyFont="1" applyFill="1" applyBorder="1" applyProtection="1"/>
    <xf numFmtId="165" fontId="78" fillId="8" borderId="44" xfId="0" applyNumberFormat="1" applyFont="1" applyFill="1" applyBorder="1" applyProtection="1"/>
    <xf numFmtId="165" fontId="9" fillId="8" borderId="44" xfId="0" applyNumberFormat="1" applyFont="1" applyFill="1" applyBorder="1" applyProtection="1"/>
    <xf numFmtId="165" fontId="3" fillId="8" borderId="44" xfId="0" applyNumberFormat="1" applyFont="1" applyFill="1" applyBorder="1" applyProtection="1"/>
    <xf numFmtId="0" fontId="0" fillId="8" borderId="44" xfId="0" applyFill="1" applyBorder="1"/>
    <xf numFmtId="165" fontId="28" fillId="0" borderId="197" xfId="0" applyNumberFormat="1" applyFont="1" applyBorder="1" applyAlignment="1" applyProtection="1">
      <alignment horizontal="center" vertical="center" wrapText="1"/>
    </xf>
    <xf numFmtId="0" fontId="17" fillId="0" borderId="197" xfId="0" applyFont="1" applyBorder="1" applyAlignment="1">
      <alignment horizontal="center" vertical="center" wrapText="1"/>
    </xf>
    <xf numFmtId="0" fontId="17" fillId="0" borderId="197" xfId="0" applyFont="1" applyBorder="1" applyAlignment="1">
      <alignment vertical="top"/>
    </xf>
    <xf numFmtId="0" fontId="29" fillId="0" borderId="197" xfId="0" applyFont="1" applyBorder="1" applyAlignment="1">
      <alignment horizontal="center" vertical="center" wrapText="1"/>
    </xf>
    <xf numFmtId="0" fontId="0" fillId="9" borderId="0" xfId="0" applyFill="1"/>
    <xf numFmtId="0" fontId="0" fillId="10" borderId="0" xfId="0" applyFill="1"/>
    <xf numFmtId="0" fontId="0" fillId="11" borderId="0" xfId="0" applyFill="1"/>
    <xf numFmtId="0" fontId="2" fillId="3" borderId="0" xfId="0" applyFont="1" applyFill="1"/>
    <xf numFmtId="3" fontId="14" fillId="0" borderId="44" xfId="0" applyNumberFormat="1" applyFont="1" applyBorder="1" applyAlignment="1" applyProtection="1">
      <alignment horizontal="right" vertical="center" shrinkToFit="1"/>
    </xf>
    <xf numFmtId="3" fontId="14" fillId="0" borderId="44" xfId="0" applyNumberFormat="1" applyFont="1" applyBorder="1" applyAlignment="1" applyProtection="1">
      <alignment horizontal="right" vertical="center"/>
    </xf>
    <xf numFmtId="3" fontId="14" fillId="0" borderId="66" xfId="0" applyNumberFormat="1" applyFont="1" applyBorder="1" applyAlignment="1" applyProtection="1">
      <alignment horizontal="right" vertical="center" shrinkToFit="1"/>
    </xf>
    <xf numFmtId="3" fontId="46" fillId="0" borderId="44" xfId="0" applyNumberFormat="1" applyFont="1" applyBorder="1" applyAlignment="1" applyProtection="1">
      <alignment horizontal="right" vertical="center" shrinkToFit="1"/>
    </xf>
    <xf numFmtId="3" fontId="14" fillId="0" borderId="60" xfId="0" applyNumberFormat="1" applyFont="1" applyBorder="1" applyAlignment="1" applyProtection="1">
      <alignment horizontal="right" vertical="center" shrinkToFit="1"/>
    </xf>
    <xf numFmtId="3" fontId="14" fillId="0" borderId="60" xfId="0" applyNumberFormat="1" applyFont="1" applyBorder="1" applyAlignment="1" applyProtection="1">
      <alignment horizontal="right" vertical="center"/>
    </xf>
    <xf numFmtId="3" fontId="14" fillId="0" borderId="71" xfId="0" applyNumberFormat="1" applyFont="1" applyBorder="1" applyAlignment="1" applyProtection="1">
      <alignment horizontal="right" vertical="center" shrinkToFit="1"/>
    </xf>
    <xf numFmtId="3" fontId="14" fillId="0" borderId="61" xfId="0" applyNumberFormat="1" applyFont="1" applyBorder="1" applyAlignment="1" applyProtection="1">
      <alignment horizontal="right" vertical="center" shrinkToFit="1"/>
    </xf>
    <xf numFmtId="3" fontId="14" fillId="0" borderId="61" xfId="0" applyNumberFormat="1" applyFont="1" applyBorder="1" applyAlignment="1" applyProtection="1">
      <alignment horizontal="right" vertical="center"/>
    </xf>
    <xf numFmtId="3" fontId="14" fillId="0" borderId="113" xfId="0" applyNumberFormat="1" applyFont="1" applyBorder="1" applyAlignment="1" applyProtection="1">
      <alignment horizontal="right" vertical="center" shrinkToFit="1"/>
    </xf>
    <xf numFmtId="3" fontId="26" fillId="0" borderId="115" xfId="0" applyNumberFormat="1" applyFont="1" applyBorder="1" applyAlignment="1" applyProtection="1">
      <alignment horizontal="right" vertical="center" shrinkToFit="1"/>
    </xf>
    <xf numFmtId="3" fontId="14" fillId="0" borderId="115" xfId="0" applyNumberFormat="1" applyFont="1" applyBorder="1" applyAlignment="1" applyProtection="1">
      <alignment horizontal="right" vertical="center" shrinkToFit="1"/>
    </xf>
    <xf numFmtId="3" fontId="14" fillId="0" borderId="115" xfId="0" applyNumberFormat="1" applyFont="1" applyBorder="1" applyAlignment="1" applyProtection="1">
      <alignment horizontal="right" vertical="center"/>
    </xf>
    <xf numFmtId="3" fontId="14" fillId="0" borderId="116" xfId="0" applyNumberFormat="1" applyFont="1" applyBorder="1" applyAlignment="1" applyProtection="1">
      <alignment horizontal="right" vertical="center" shrinkToFit="1"/>
    </xf>
    <xf numFmtId="3" fontId="14" fillId="0" borderId="117" xfId="0" applyNumberFormat="1" applyFont="1" applyBorder="1" applyAlignment="1" applyProtection="1">
      <alignment horizontal="right" vertical="center" shrinkToFit="1"/>
    </xf>
    <xf numFmtId="3" fontId="14" fillId="0" borderId="117" xfId="0" applyNumberFormat="1" applyFont="1" applyBorder="1" applyAlignment="1" applyProtection="1">
      <alignment horizontal="right" vertical="center"/>
    </xf>
    <xf numFmtId="3" fontId="14" fillId="0" borderId="68" xfId="0" applyNumberFormat="1" applyFont="1" applyBorder="1" applyAlignment="1" applyProtection="1">
      <alignment horizontal="right" vertical="center" shrinkToFit="1"/>
    </xf>
    <xf numFmtId="3" fontId="14" fillId="0" borderId="68" xfId="0" applyNumberFormat="1" applyFont="1" applyBorder="1" applyAlignment="1" applyProtection="1">
      <alignment horizontal="right" vertical="center"/>
    </xf>
    <xf numFmtId="3" fontId="14" fillId="0" borderId="69" xfId="0" applyNumberFormat="1" applyFont="1" applyBorder="1" applyAlignment="1" applyProtection="1">
      <alignment horizontal="right" vertical="center" shrinkToFit="1"/>
    </xf>
    <xf numFmtId="1" fontId="14" fillId="0" borderId="44" xfId="0" applyNumberFormat="1" applyFont="1" applyBorder="1" applyAlignment="1" applyProtection="1">
      <alignment horizontal="right" vertical="center"/>
    </xf>
    <xf numFmtId="0" fontId="16" fillId="0" borderId="0" xfId="0" applyFont="1" applyBorder="1" applyAlignment="1">
      <alignment horizontal="right" vertical="center"/>
    </xf>
    <xf numFmtId="0" fontId="16" fillId="0" borderId="11" xfId="0" applyFont="1" applyBorder="1" applyAlignment="1">
      <alignment horizontal="right" vertical="center"/>
    </xf>
    <xf numFmtId="3" fontId="14" fillId="0" borderId="44" xfId="2" applyNumberFormat="1" applyFont="1" applyBorder="1" applyAlignment="1" applyProtection="1">
      <alignment horizontal="right" vertical="center" shrinkToFit="1"/>
    </xf>
    <xf numFmtId="3" fontId="14" fillId="0" borderId="66" xfId="2" applyNumberFormat="1" applyFont="1" applyBorder="1" applyAlignment="1" applyProtection="1">
      <alignment horizontal="right" vertical="center" shrinkToFit="1"/>
    </xf>
    <xf numFmtId="1" fontId="14" fillId="0" borderId="52" xfId="0" applyNumberFormat="1" applyFont="1" applyBorder="1" applyAlignment="1" applyProtection="1">
      <alignment horizontal="right" vertical="center"/>
    </xf>
    <xf numFmtId="1" fontId="14" fillId="0" borderId="44" xfId="0" applyNumberFormat="1" applyFont="1" applyBorder="1" applyAlignment="1">
      <alignment horizontal="right" vertical="center"/>
    </xf>
    <xf numFmtId="2" fontId="14" fillId="0" borderId="44" xfId="0" applyNumberFormat="1" applyFont="1" applyBorder="1" applyAlignment="1" applyProtection="1">
      <alignment horizontal="right" vertical="center"/>
    </xf>
    <xf numFmtId="2" fontId="14" fillId="0" borderId="68" xfId="0" applyNumberFormat="1" applyFont="1" applyBorder="1" applyAlignment="1" applyProtection="1">
      <alignment horizontal="right" vertical="center"/>
    </xf>
    <xf numFmtId="3" fontId="14" fillId="0" borderId="46" xfId="0" applyNumberFormat="1" applyFont="1" applyBorder="1" applyAlignment="1" applyProtection="1">
      <alignment horizontal="right" vertical="center" shrinkToFit="1"/>
    </xf>
    <xf numFmtId="3" fontId="14" fillId="0" borderId="46" xfId="0" applyNumberFormat="1" applyFont="1" applyBorder="1" applyAlignment="1" applyProtection="1">
      <alignment horizontal="right" vertical="center"/>
    </xf>
    <xf numFmtId="3" fontId="14" fillId="0" borderId="111" xfId="0" applyNumberFormat="1" applyFont="1" applyBorder="1" applyAlignment="1" applyProtection="1">
      <alignment horizontal="right" vertical="center" shrinkToFit="1"/>
    </xf>
    <xf numFmtId="3" fontId="14" fillId="0" borderId="44" xfId="0" applyNumberFormat="1" applyFont="1" applyBorder="1" applyAlignment="1">
      <alignment horizontal="right" vertical="center" shrinkToFit="1"/>
    </xf>
    <xf numFmtId="3" fontId="14" fillId="0" borderId="44" xfId="0" applyNumberFormat="1" applyFont="1" applyBorder="1" applyAlignment="1">
      <alignment horizontal="right" vertical="center"/>
    </xf>
    <xf numFmtId="3" fontId="14" fillId="0" borderId="66" xfId="0" applyNumberFormat="1" applyFont="1" applyBorder="1" applyAlignment="1">
      <alignment horizontal="right" vertical="center" shrinkToFit="1"/>
    </xf>
    <xf numFmtId="165" fontId="3" fillId="0" borderId="44" xfId="0" applyNumberFormat="1" applyFont="1" applyBorder="1" applyAlignment="1" applyProtection="1">
      <alignment horizontal="right" vertical="center"/>
    </xf>
    <xf numFmtId="165" fontId="3" fillId="0" borderId="66" xfId="0" applyNumberFormat="1" applyFont="1" applyBorder="1" applyAlignment="1" applyProtection="1">
      <alignment horizontal="right" vertical="center"/>
    </xf>
    <xf numFmtId="3" fontId="14" fillId="0" borderId="124" xfId="0" applyNumberFormat="1" applyFont="1" applyBorder="1" applyAlignment="1" applyProtection="1">
      <alignment horizontal="right" vertical="center" shrinkToFit="1"/>
    </xf>
    <xf numFmtId="3" fontId="14" fillId="0" borderId="124" xfId="0" applyNumberFormat="1" applyFont="1" applyBorder="1" applyAlignment="1" applyProtection="1">
      <alignment horizontal="right" vertical="center"/>
    </xf>
    <xf numFmtId="3" fontId="14" fillId="0" borderId="125" xfId="0" applyNumberFormat="1" applyFont="1" applyBorder="1" applyAlignment="1" applyProtection="1">
      <alignment horizontal="right" vertical="center" shrinkToFit="1"/>
    </xf>
    <xf numFmtId="3" fontId="14" fillId="0" borderId="127" xfId="0" applyNumberFormat="1" applyFont="1" applyBorder="1" applyAlignment="1" applyProtection="1">
      <alignment horizontal="right" vertical="center" shrinkToFit="1"/>
    </xf>
    <xf numFmtId="3" fontId="14" fillId="0" borderId="127" xfId="0" applyNumberFormat="1" applyFont="1" applyBorder="1" applyAlignment="1" applyProtection="1">
      <alignment horizontal="right" vertical="center"/>
    </xf>
    <xf numFmtId="3" fontId="14" fillId="0" borderId="128" xfId="0" applyNumberFormat="1" applyFont="1" applyBorder="1" applyAlignment="1" applyProtection="1">
      <alignment horizontal="right" vertical="center" shrinkToFit="1"/>
    </xf>
    <xf numFmtId="3" fontId="29" fillId="0" borderId="124" xfId="0" applyNumberFormat="1" applyFont="1" applyBorder="1" applyAlignment="1" applyProtection="1">
      <alignment horizontal="right" vertical="center" shrinkToFit="1"/>
    </xf>
    <xf numFmtId="3" fontId="29" fillId="0" borderId="124" xfId="0" applyNumberFormat="1" applyFont="1" applyBorder="1" applyAlignment="1" applyProtection="1">
      <alignment horizontal="right" vertical="center"/>
    </xf>
    <xf numFmtId="3" fontId="29" fillId="0" borderId="125" xfId="0" applyNumberFormat="1" applyFont="1" applyBorder="1" applyAlignment="1" applyProtection="1">
      <alignment horizontal="right" vertical="center" shrinkToFit="1"/>
    </xf>
    <xf numFmtId="3" fontId="14" fillId="0" borderId="131" xfId="0" applyNumberFormat="1" applyFont="1" applyBorder="1" applyAlignment="1" applyProtection="1">
      <alignment horizontal="right" vertical="center" shrinkToFit="1"/>
    </xf>
    <xf numFmtId="3" fontId="14" fillId="0" borderId="131" xfId="0" applyNumberFormat="1" applyFont="1" applyBorder="1" applyAlignment="1" applyProtection="1">
      <alignment horizontal="right" vertical="center"/>
    </xf>
    <xf numFmtId="3" fontId="14" fillId="0" borderId="132" xfId="0" applyNumberFormat="1" applyFont="1" applyBorder="1" applyAlignment="1" applyProtection="1">
      <alignment horizontal="right" vertical="center" shrinkToFit="1"/>
    </xf>
    <xf numFmtId="3" fontId="14" fillId="0" borderId="134" xfId="0" applyNumberFormat="1" applyFont="1" applyBorder="1" applyAlignment="1" applyProtection="1">
      <alignment horizontal="right" vertical="center" shrinkToFit="1"/>
    </xf>
    <xf numFmtId="3" fontId="14" fillId="0" borderId="134" xfId="0" applyNumberFormat="1" applyFont="1" applyBorder="1" applyAlignment="1" applyProtection="1">
      <alignment horizontal="right" vertical="center"/>
    </xf>
    <xf numFmtId="3" fontId="14" fillId="0" borderId="135" xfId="0" applyNumberFormat="1" applyFont="1" applyBorder="1" applyAlignment="1" applyProtection="1">
      <alignment horizontal="right" vertical="center" shrinkToFit="1"/>
    </xf>
    <xf numFmtId="165" fontId="14" fillId="0" borderId="46" xfId="0" applyNumberFormat="1" applyFont="1" applyBorder="1" applyAlignment="1" applyProtection="1">
      <alignment horizontal="right" vertical="center"/>
    </xf>
    <xf numFmtId="165" fontId="14" fillId="0" borderId="111" xfId="0" applyNumberFormat="1" applyFont="1" applyBorder="1" applyAlignment="1" applyProtection="1">
      <alignment horizontal="right" vertical="center"/>
    </xf>
    <xf numFmtId="3" fontId="14" fillId="0" borderId="4" xfId="0" applyNumberFormat="1" applyFont="1" applyBorder="1" applyAlignment="1" applyProtection="1">
      <alignment horizontal="right" vertical="center" shrinkToFit="1"/>
    </xf>
    <xf numFmtId="3" fontId="14" fillId="0" borderId="12" xfId="0" applyNumberFormat="1" applyFont="1" applyBorder="1" applyAlignment="1" applyProtection="1">
      <alignment horizontal="right" vertical="center" shrinkToFit="1"/>
    </xf>
    <xf numFmtId="3" fontId="14" fillId="0" borderId="35" xfId="0" applyNumberFormat="1" applyFont="1" applyBorder="1" applyAlignment="1" applyProtection="1">
      <alignment horizontal="right" vertical="center" shrinkToFit="1"/>
    </xf>
    <xf numFmtId="3" fontId="14" fillId="0" borderId="35" xfId="0" applyNumberFormat="1" applyFont="1" applyBorder="1" applyAlignment="1" applyProtection="1">
      <alignment horizontal="right" vertical="center"/>
    </xf>
    <xf numFmtId="3" fontId="14" fillId="0" borderId="36" xfId="0" applyNumberFormat="1" applyFont="1" applyBorder="1" applyAlignment="1" applyProtection="1">
      <alignment horizontal="right" vertical="center" shrinkToFit="1"/>
    </xf>
    <xf numFmtId="3" fontId="14" fillId="0" borderId="224" xfId="0" applyNumberFormat="1" applyFont="1" applyBorder="1" applyAlignment="1" applyProtection="1">
      <alignment horizontal="right" vertical="center" shrinkToFit="1"/>
    </xf>
    <xf numFmtId="3" fontId="14" fillId="0" borderId="224" xfId="0" applyNumberFormat="1" applyFont="1" applyBorder="1" applyAlignment="1" applyProtection="1">
      <alignment horizontal="right" vertical="center"/>
    </xf>
    <xf numFmtId="3" fontId="14" fillId="0" borderId="219" xfId="0" applyNumberFormat="1" applyFont="1" applyBorder="1" applyAlignment="1" applyProtection="1">
      <alignment horizontal="right" vertical="center" shrinkToFit="1"/>
    </xf>
    <xf numFmtId="3" fontId="14" fillId="0" borderId="4" xfId="0" applyNumberFormat="1" applyFont="1" applyBorder="1" applyAlignment="1" applyProtection="1">
      <alignment horizontal="right" vertical="center"/>
    </xf>
    <xf numFmtId="3" fontId="14" fillId="0" borderId="217" xfId="0" applyNumberFormat="1" applyFont="1" applyBorder="1" applyAlignment="1" applyProtection="1">
      <alignment horizontal="right" vertical="center" shrinkToFit="1"/>
    </xf>
    <xf numFmtId="3" fontId="14" fillId="0" borderId="218" xfId="0" applyNumberFormat="1" applyFont="1" applyBorder="1" applyAlignment="1" applyProtection="1">
      <alignment horizontal="right" vertical="center" shrinkToFit="1"/>
    </xf>
    <xf numFmtId="3" fontId="14" fillId="0" borderId="217" xfId="0" applyNumberFormat="1" applyFont="1" applyBorder="1" applyAlignment="1" applyProtection="1">
      <alignment horizontal="right" vertical="center"/>
    </xf>
    <xf numFmtId="3" fontId="14" fillId="0" borderId="4" xfId="0" applyNumberFormat="1" applyFont="1" applyBorder="1" applyAlignment="1">
      <alignment horizontal="right" vertical="center" shrinkToFit="1"/>
    </xf>
    <xf numFmtId="3" fontId="14" fillId="0" borderId="4" xfId="0" applyNumberFormat="1" applyFont="1" applyBorder="1" applyAlignment="1">
      <alignment horizontal="right" vertical="center"/>
    </xf>
    <xf numFmtId="3" fontId="14" fillId="0" borderId="12" xfId="0" applyNumberFormat="1" applyFont="1" applyBorder="1" applyAlignment="1">
      <alignment horizontal="right" vertical="center" shrinkToFit="1"/>
    </xf>
    <xf numFmtId="3" fontId="14" fillId="0" borderId="220" xfId="0" applyNumberFormat="1" applyFont="1" applyBorder="1" applyAlignment="1" applyProtection="1">
      <alignment horizontal="right" vertical="center" shrinkToFit="1"/>
    </xf>
    <xf numFmtId="3" fontId="14" fillId="0" borderId="3" xfId="0" applyNumberFormat="1" applyFont="1" applyBorder="1" applyAlignment="1">
      <alignment horizontal="right" vertical="center" shrinkToFit="1"/>
    </xf>
    <xf numFmtId="1" fontId="14" fillId="0" borderId="13" xfId="0" applyNumberFormat="1" applyFont="1" applyBorder="1" applyAlignment="1">
      <alignment horizontal="right" vertical="center"/>
    </xf>
    <xf numFmtId="0" fontId="29" fillId="0" borderId="98" xfId="0" applyFont="1" applyBorder="1" applyAlignment="1">
      <alignment horizontal="right" vertical="center" shrinkToFit="1"/>
    </xf>
    <xf numFmtId="1" fontId="14" fillId="0" borderId="28" xfId="0" applyNumberFormat="1" applyFont="1" applyBorder="1" applyAlignment="1" applyProtection="1">
      <alignment horizontal="right" vertical="center"/>
    </xf>
    <xf numFmtId="3" fontId="14" fillId="0" borderId="26" xfId="0" applyNumberFormat="1" applyFont="1" applyBorder="1" applyAlignment="1" applyProtection="1">
      <alignment horizontal="right" vertical="center" shrinkToFit="1"/>
    </xf>
    <xf numFmtId="3" fontId="14" fillId="0" borderId="27" xfId="0" applyNumberFormat="1" applyFont="1" applyBorder="1" applyAlignment="1" applyProtection="1">
      <alignment horizontal="right" vertical="center" shrinkToFit="1"/>
    </xf>
    <xf numFmtId="0" fontId="29" fillId="0" borderId="99" xfId="0" applyFont="1" applyBorder="1" applyAlignment="1">
      <alignment horizontal="right" vertical="center" shrinkToFit="1"/>
    </xf>
    <xf numFmtId="165" fontId="14" fillId="0" borderId="98" xfId="0" applyNumberFormat="1" applyFont="1" applyBorder="1" applyAlignment="1" applyProtection="1">
      <alignment horizontal="right" vertical="center"/>
    </xf>
    <xf numFmtId="0" fontId="29" fillId="0" borderId="98" xfId="0" applyFont="1" applyBorder="1" applyAlignment="1">
      <alignment horizontal="right" vertical="center"/>
    </xf>
    <xf numFmtId="3" fontId="14" fillId="0" borderId="26" xfId="0" applyNumberFormat="1" applyFont="1" applyBorder="1" applyAlignment="1">
      <alignment horizontal="right" vertical="center" shrinkToFit="1"/>
    </xf>
    <xf numFmtId="165" fontId="14" fillId="0" borderId="99" xfId="0" applyNumberFormat="1" applyFont="1" applyBorder="1" applyAlignment="1" applyProtection="1">
      <alignment horizontal="right" vertical="center"/>
    </xf>
    <xf numFmtId="165" fontId="14" fillId="0" borderId="98" xfId="0" applyNumberFormat="1" applyFont="1" applyBorder="1" applyAlignment="1">
      <alignment horizontal="right" vertical="center"/>
    </xf>
    <xf numFmtId="0" fontId="14" fillId="0" borderId="98" xfId="0" applyFont="1" applyBorder="1" applyAlignment="1">
      <alignment horizontal="right" vertical="center"/>
    </xf>
    <xf numFmtId="3" fontId="3" fillId="0" borderId="192" xfId="0" applyNumberFormat="1" applyFont="1" applyBorder="1" applyAlignment="1" applyProtection="1">
      <alignment horizontal="right" vertical="center"/>
    </xf>
    <xf numFmtId="3" fontId="3" fillId="0" borderId="192" xfId="0" applyNumberFormat="1" applyFont="1" applyBorder="1" applyAlignment="1" applyProtection="1">
      <alignment horizontal="right" vertical="center" shrinkToFit="1"/>
    </xf>
    <xf numFmtId="3" fontId="3" fillId="0" borderId="193" xfId="0" applyNumberFormat="1" applyFont="1" applyBorder="1" applyAlignment="1" applyProtection="1">
      <alignment horizontal="right" vertical="center" shrinkToFit="1"/>
    </xf>
    <xf numFmtId="3" fontId="3" fillId="0" borderId="44" xfId="0" applyNumberFormat="1" applyFont="1" applyBorder="1" applyAlignment="1" applyProtection="1">
      <alignment horizontal="right" vertical="center"/>
    </xf>
    <xf numFmtId="3" fontId="3" fillId="0" borderId="44" xfId="0" applyNumberFormat="1" applyFont="1" applyBorder="1" applyAlignment="1" applyProtection="1">
      <alignment horizontal="right" vertical="center" shrinkToFit="1"/>
    </xf>
    <xf numFmtId="3" fontId="3" fillId="0" borderId="45" xfId="0" applyNumberFormat="1" applyFont="1" applyBorder="1" applyAlignment="1" applyProtection="1">
      <alignment horizontal="right" vertical="center" shrinkToFit="1"/>
    </xf>
    <xf numFmtId="3" fontId="3" fillId="0" borderId="46" xfId="0" applyNumberFormat="1" applyFont="1" applyBorder="1" applyAlignment="1" applyProtection="1">
      <alignment horizontal="right" vertical="center"/>
    </xf>
    <xf numFmtId="3" fontId="3" fillId="0" borderId="46" xfId="0" applyNumberFormat="1" applyFont="1" applyBorder="1" applyAlignment="1" applyProtection="1">
      <alignment horizontal="right" vertical="center" shrinkToFit="1"/>
    </xf>
    <xf numFmtId="3" fontId="3" fillId="0" borderId="195" xfId="0" applyNumberFormat="1" applyFont="1" applyBorder="1" applyAlignment="1" applyProtection="1">
      <alignment horizontal="right" vertical="center" shrinkToFit="1"/>
    </xf>
    <xf numFmtId="3" fontId="0" fillId="0" borderId="46" xfId="0" applyNumberFormat="1" applyBorder="1" applyAlignment="1">
      <alignment horizontal="right" vertical="center"/>
    </xf>
    <xf numFmtId="3" fontId="0" fillId="0" borderId="0" xfId="0" applyNumberFormat="1" applyBorder="1" applyAlignment="1">
      <alignment horizontal="right" vertical="center"/>
    </xf>
    <xf numFmtId="3" fontId="3" fillId="0" borderId="0" xfId="0" applyNumberFormat="1" applyFont="1" applyBorder="1" applyAlignment="1" applyProtection="1">
      <alignment horizontal="right" vertical="center" shrinkToFit="1"/>
    </xf>
    <xf numFmtId="3" fontId="3" fillId="0" borderId="0" xfId="0" applyNumberFormat="1" applyFont="1" applyBorder="1" applyAlignment="1" applyProtection="1">
      <alignment horizontal="right" vertical="center"/>
    </xf>
    <xf numFmtId="3" fontId="3" fillId="8" borderId="192" xfId="0" applyNumberFormat="1" applyFont="1" applyFill="1" applyBorder="1" applyAlignment="1" applyProtection="1">
      <alignment horizontal="right" vertical="center"/>
    </xf>
    <xf numFmtId="3" fontId="0" fillId="8" borderId="192" xfId="0" applyNumberFormat="1" applyFill="1" applyBorder="1" applyAlignment="1">
      <alignment horizontal="right" vertical="center"/>
    </xf>
    <xf numFmtId="3" fontId="3" fillId="0" borderId="195" xfId="0" applyNumberFormat="1" applyFont="1" applyBorder="1" applyAlignment="1" applyProtection="1">
      <alignment horizontal="right" vertical="center"/>
    </xf>
    <xf numFmtId="0" fontId="0" fillId="0" borderId="0" xfId="0" applyBorder="1" applyAlignment="1">
      <alignment horizontal="right" vertical="center"/>
    </xf>
    <xf numFmtId="1" fontId="3" fillId="0" borderId="46" xfId="0" applyNumberFormat="1" applyFont="1" applyBorder="1" applyAlignment="1" applyProtection="1">
      <alignment horizontal="right" vertical="center"/>
    </xf>
    <xf numFmtId="1" fontId="3" fillId="0" borderId="46" xfId="0" applyNumberFormat="1" applyFont="1" applyBorder="1" applyAlignment="1" applyProtection="1">
      <alignment horizontal="right" vertical="center" shrinkToFit="1"/>
    </xf>
    <xf numFmtId="1" fontId="3" fillId="0" borderId="195" xfId="0" applyNumberFormat="1" applyFont="1" applyBorder="1" applyAlignment="1" applyProtection="1">
      <alignment horizontal="right" vertical="center" shrinkToFit="1"/>
    </xf>
    <xf numFmtId="1" fontId="3" fillId="8" borderId="192" xfId="0" applyNumberFormat="1" applyFont="1" applyFill="1" applyBorder="1" applyAlignment="1" applyProtection="1">
      <alignment horizontal="right" vertical="center"/>
    </xf>
    <xf numFmtId="1" fontId="3" fillId="8" borderId="192" xfId="0" applyNumberFormat="1" applyFont="1" applyFill="1" applyBorder="1" applyAlignment="1" applyProtection="1">
      <alignment horizontal="right" vertical="center" shrinkToFit="1"/>
    </xf>
    <xf numFmtId="1" fontId="3" fillId="0" borderId="193" xfId="0" applyNumberFormat="1" applyFont="1" applyBorder="1" applyAlignment="1" applyProtection="1">
      <alignment horizontal="right" vertical="center" shrinkToFit="1"/>
    </xf>
    <xf numFmtId="1" fontId="3" fillId="0" borderId="0" xfId="0" applyNumberFormat="1" applyFont="1" applyBorder="1" applyAlignment="1" applyProtection="1">
      <alignment horizontal="right" vertical="center"/>
    </xf>
    <xf numFmtId="1" fontId="3" fillId="0" borderId="0" xfId="0" applyNumberFormat="1" applyFont="1" applyBorder="1" applyAlignment="1" applyProtection="1">
      <alignment horizontal="right" vertical="center" shrinkToFit="1"/>
    </xf>
    <xf numFmtId="1" fontId="3" fillId="0" borderId="192" xfId="0" applyNumberFormat="1" applyFont="1" applyBorder="1" applyAlignment="1" applyProtection="1">
      <alignment horizontal="right" vertical="center" shrinkToFit="1"/>
    </xf>
    <xf numFmtId="0" fontId="0" fillId="0" borderId="193" xfId="0" applyBorder="1" applyAlignment="1">
      <alignment horizontal="right" vertical="center"/>
    </xf>
    <xf numFmtId="1" fontId="3" fillId="0" borderId="162" xfId="0" applyNumberFormat="1" applyFont="1" applyBorder="1" applyAlignment="1" applyProtection="1">
      <alignment horizontal="right" vertical="center"/>
    </xf>
    <xf numFmtId="1" fontId="3" fillId="0" borderId="162" xfId="0" applyNumberFormat="1" applyFont="1" applyBorder="1" applyAlignment="1" applyProtection="1">
      <alignment horizontal="right" vertical="center" shrinkToFit="1"/>
    </xf>
    <xf numFmtId="1" fontId="3" fillId="0" borderId="200" xfId="0" applyNumberFormat="1" applyFont="1" applyBorder="1" applyAlignment="1" applyProtection="1">
      <alignment horizontal="right" vertical="center" shrinkToFit="1"/>
    </xf>
    <xf numFmtId="165" fontId="14" fillId="0" borderId="124" xfId="0" applyNumberFormat="1" applyFont="1" applyBorder="1" applyAlignment="1" applyProtection="1">
      <alignment horizontal="right" vertical="center" shrinkToFit="1"/>
    </xf>
    <xf numFmtId="165" fontId="14" fillId="0" borderId="232" xfId="0" applyNumberFormat="1" applyFont="1" applyBorder="1" applyAlignment="1" applyProtection="1">
      <alignment horizontal="right" vertical="center" shrinkToFit="1"/>
    </xf>
    <xf numFmtId="3" fontId="14" fillId="0" borderId="232" xfId="0" applyNumberFormat="1" applyFont="1" applyBorder="1" applyAlignment="1" applyProtection="1">
      <alignment horizontal="right" vertical="center"/>
    </xf>
    <xf numFmtId="3" fontId="14" fillId="0" borderId="232" xfId="0" applyNumberFormat="1" applyFont="1" applyBorder="1" applyAlignment="1" applyProtection="1">
      <alignment horizontal="right" vertical="center" shrinkToFit="1"/>
    </xf>
    <xf numFmtId="3" fontId="14" fillId="0" borderId="233" xfId="0" applyNumberFormat="1" applyFont="1" applyBorder="1" applyAlignment="1" applyProtection="1">
      <alignment horizontal="right" vertical="center" shrinkToFit="1"/>
    </xf>
    <xf numFmtId="3" fontId="29" fillId="0" borderId="124" xfId="0" applyNumberFormat="1" applyFont="1" applyBorder="1" applyAlignment="1">
      <alignment horizontal="right" vertical="center"/>
    </xf>
    <xf numFmtId="165" fontId="14" fillId="0" borderId="53" xfId="0" applyNumberFormat="1" applyFont="1" applyBorder="1" applyAlignment="1" applyProtection="1">
      <alignment horizontal="right" vertical="center" shrinkToFit="1"/>
    </xf>
    <xf numFmtId="3" fontId="14" fillId="0" borderId="53" xfId="0" applyNumberFormat="1" applyFont="1" applyBorder="1" applyAlignment="1" applyProtection="1">
      <alignment horizontal="right" vertical="center"/>
    </xf>
    <xf numFmtId="3" fontId="14" fillId="0" borderId="53" xfId="0" applyNumberFormat="1" applyFont="1" applyBorder="1" applyAlignment="1" applyProtection="1">
      <alignment horizontal="right" vertical="center" shrinkToFit="1"/>
    </xf>
    <xf numFmtId="3" fontId="14" fillId="0" borderId="145" xfId="0" applyNumberFormat="1" applyFont="1" applyBorder="1" applyAlignment="1" applyProtection="1">
      <alignment horizontal="right" vertical="center" shrinkToFit="1"/>
    </xf>
    <xf numFmtId="165" fontId="14" fillId="0" borderId="68" xfId="0" applyNumberFormat="1" applyFont="1" applyBorder="1" applyAlignment="1" applyProtection="1">
      <alignment horizontal="right" vertical="center" shrinkToFit="1"/>
    </xf>
    <xf numFmtId="1" fontId="4" fillId="0" borderId="44" xfId="0" applyNumberFormat="1" applyFont="1" applyBorder="1" applyAlignment="1">
      <alignment horizontal="right" vertical="center"/>
    </xf>
    <xf numFmtId="3" fontId="3" fillId="0" borderId="66" xfId="0" applyNumberFormat="1" applyFont="1" applyBorder="1" applyAlignment="1" applyProtection="1">
      <alignment horizontal="right" vertical="center" shrinkToFit="1"/>
    </xf>
    <xf numFmtId="0" fontId="0" fillId="0" borderId="44" xfId="0" applyBorder="1" applyAlignment="1">
      <alignment horizontal="right" vertical="center"/>
    </xf>
    <xf numFmtId="1" fontId="14" fillId="0" borderId="44" xfId="0" applyNumberFormat="1" applyFont="1" applyBorder="1" applyAlignment="1" applyProtection="1">
      <alignment horizontal="right" vertical="center" shrinkToFit="1"/>
    </xf>
    <xf numFmtId="1" fontId="14" fillId="0" borderId="68" xfId="0" applyNumberFormat="1" applyFont="1" applyBorder="1" applyAlignment="1" applyProtection="1">
      <alignment horizontal="right" vertical="center" shrinkToFit="1"/>
    </xf>
    <xf numFmtId="3" fontId="14" fillId="0" borderId="68" xfId="2" applyNumberFormat="1" applyFont="1" applyBorder="1" applyAlignment="1" applyProtection="1">
      <alignment horizontal="right" vertical="center"/>
    </xf>
    <xf numFmtId="3" fontId="14" fillId="0" borderId="69" xfId="2" applyNumberFormat="1" applyFont="1" applyBorder="1" applyAlignment="1" applyProtection="1">
      <alignment horizontal="right" vertical="center"/>
    </xf>
    <xf numFmtId="3" fontId="13" fillId="0" borderId="44" xfId="0" applyNumberFormat="1" applyFont="1" applyBorder="1" applyAlignment="1">
      <alignment horizontal="right" vertical="center" shrinkToFit="1"/>
    </xf>
    <xf numFmtId="3" fontId="13" fillId="0" borderId="66" xfId="0" applyNumberFormat="1" applyFont="1" applyBorder="1" applyAlignment="1">
      <alignment horizontal="right" vertical="center" shrinkToFit="1"/>
    </xf>
    <xf numFmtId="3" fontId="13" fillId="0" borderId="46" xfId="0" applyNumberFormat="1" applyFont="1" applyBorder="1" applyAlignment="1">
      <alignment horizontal="right" vertical="center" shrinkToFit="1"/>
    </xf>
    <xf numFmtId="3" fontId="13" fillId="0" borderId="111" xfId="0" applyNumberFormat="1" applyFont="1" applyBorder="1" applyAlignment="1">
      <alignment horizontal="right" vertical="center" shrinkToFit="1"/>
    </xf>
    <xf numFmtId="3" fontId="0" fillId="11" borderId="0" xfId="0" applyNumberFormat="1" applyFill="1"/>
    <xf numFmtId="3" fontId="0" fillId="9" borderId="0" xfId="0" applyNumberFormat="1" applyFill="1"/>
    <xf numFmtId="0" fontId="2" fillId="0" borderId="0" xfId="0" applyFont="1" applyProtection="1">
      <protection locked="0"/>
    </xf>
    <xf numFmtId="165" fontId="3" fillId="0" borderId="0" xfId="0" applyNumberFormat="1" applyFont="1" applyBorder="1" applyAlignment="1" applyProtection="1">
      <alignment horizontal="center" vertical="center"/>
    </xf>
    <xf numFmtId="0" fontId="16" fillId="0" borderId="0" xfId="0" applyFont="1" applyBorder="1" applyAlignment="1">
      <alignment horizontal="justify" vertical="top" wrapText="1"/>
    </xf>
    <xf numFmtId="0" fontId="16" fillId="0" borderId="11" xfId="0" applyFont="1" applyBorder="1" applyAlignment="1">
      <alignment horizontal="justify" vertical="top" wrapText="1"/>
    </xf>
    <xf numFmtId="167" fontId="3" fillId="3" borderId="65" xfId="0" applyNumberFormat="1" applyFont="1" applyFill="1" applyBorder="1" applyAlignment="1" applyProtection="1">
      <alignment horizontal="center"/>
    </xf>
    <xf numFmtId="0" fontId="2" fillId="0" borderId="44" xfId="0" applyFont="1" applyBorder="1"/>
    <xf numFmtId="165" fontId="3" fillId="3" borderId="67" xfId="0" applyNumberFormat="1" applyFont="1" applyFill="1" applyBorder="1" applyAlignment="1" applyProtection="1">
      <alignment horizontal="center"/>
    </xf>
    <xf numFmtId="165" fontId="3" fillId="0" borderId="174" xfId="0" applyNumberFormat="1" applyFont="1" applyBorder="1" applyProtection="1"/>
    <xf numFmtId="165" fontId="18" fillId="0" borderId="124" xfId="0" applyNumberFormat="1" applyFont="1" applyBorder="1" applyAlignment="1" applyProtection="1">
      <alignment horizontal="justify" vertical="top"/>
    </xf>
    <xf numFmtId="0" fontId="4" fillId="0" borderId="124" xfId="0" applyFont="1" applyBorder="1" applyAlignment="1">
      <alignment horizontal="left" vertical="top"/>
    </xf>
    <xf numFmtId="3" fontId="3" fillId="0" borderId="124" xfId="0" applyNumberFormat="1" applyFont="1" applyBorder="1" applyAlignment="1" applyProtection="1">
      <alignment horizontal="right" vertical="center"/>
    </xf>
    <xf numFmtId="3" fontId="3" fillId="0" borderId="236" xfId="0" applyNumberFormat="1" applyFont="1" applyBorder="1" applyAlignment="1" applyProtection="1">
      <alignment horizontal="right" vertical="center"/>
    </xf>
    <xf numFmtId="165" fontId="3" fillId="0" borderId="237" xfId="0" applyNumberFormat="1" applyFont="1" applyBorder="1" applyAlignment="1" applyProtection="1">
      <alignment horizontal="left" vertical="top"/>
    </xf>
    <xf numFmtId="0" fontId="0" fillId="0" borderId="238" xfId="0" applyBorder="1"/>
    <xf numFmtId="165" fontId="78" fillId="8" borderId="238" xfId="0" applyNumberFormat="1" applyFont="1" applyFill="1" applyBorder="1" applyProtection="1"/>
    <xf numFmtId="165" fontId="3" fillId="8" borderId="238" xfId="0" applyNumberFormat="1" applyFont="1" applyFill="1" applyBorder="1" applyProtection="1"/>
    <xf numFmtId="3" fontId="3" fillId="8" borderId="238" xfId="0" applyNumberFormat="1" applyFont="1" applyFill="1" applyBorder="1" applyAlignment="1" applyProtection="1">
      <alignment horizontal="right" vertical="center"/>
    </xf>
    <xf numFmtId="3" fontId="3" fillId="0" borderId="238" xfId="0" applyNumberFormat="1" applyFont="1" applyBorder="1" applyAlignment="1" applyProtection="1">
      <alignment horizontal="right" vertical="center" shrinkToFit="1"/>
    </xf>
    <xf numFmtId="3" fontId="3" fillId="0" borderId="239" xfId="0" applyNumberFormat="1" applyFont="1" applyBorder="1" applyAlignment="1" applyProtection="1">
      <alignment horizontal="right" vertical="center" shrinkToFit="1"/>
    </xf>
    <xf numFmtId="165" fontId="3" fillId="3" borderId="68" xfId="0" applyNumberFormat="1" applyFont="1" applyFill="1" applyBorder="1" applyAlignment="1" applyProtection="1">
      <alignment horizontal="center" shrinkToFit="1"/>
    </xf>
    <xf numFmtId="165" fontId="3" fillId="3" borderId="66" xfId="0" applyNumberFormat="1" applyFont="1" applyFill="1" applyBorder="1" applyAlignment="1" applyProtection="1">
      <alignment vertical="top"/>
    </xf>
    <xf numFmtId="3" fontId="50" fillId="7" borderId="66" xfId="0" applyNumberFormat="1" applyFont="1" applyFill="1" applyBorder="1" applyAlignment="1" applyProtection="1">
      <alignment vertical="top"/>
    </xf>
    <xf numFmtId="3" fontId="3" fillId="3" borderId="69" xfId="0" applyNumberFormat="1" applyFont="1" applyFill="1" applyBorder="1" applyAlignment="1" applyProtection="1">
      <alignment shrinkToFit="1"/>
    </xf>
    <xf numFmtId="0" fontId="81" fillId="12" borderId="51" xfId="5" quotePrefix="1" applyFont="1" applyFill="1" applyBorder="1" applyAlignment="1">
      <alignment vertical="center" wrapText="1"/>
    </xf>
    <xf numFmtId="0" fontId="0" fillId="0" borderId="50" xfId="0" applyBorder="1"/>
    <xf numFmtId="3" fontId="13" fillId="0" borderId="156" xfId="0" applyNumberFormat="1" applyFont="1" applyBorder="1"/>
    <xf numFmtId="3" fontId="13" fillId="0" borderId="73" xfId="0" applyNumberFormat="1" applyFont="1" applyBorder="1"/>
    <xf numFmtId="3" fontId="4" fillId="0" borderId="164" xfId="0" applyNumberFormat="1" applyFont="1" applyBorder="1" applyAlignment="1">
      <alignment horizontal="center"/>
    </xf>
    <xf numFmtId="3" fontId="4" fillId="0" borderId="165" xfId="0" applyNumberFormat="1" applyFont="1" applyBorder="1" applyAlignment="1">
      <alignment horizontal="center"/>
    </xf>
    <xf numFmtId="3" fontId="50" fillId="7" borderId="44" xfId="0" applyNumberFormat="1" applyFont="1" applyFill="1" applyBorder="1" applyAlignment="1" applyProtection="1">
      <alignment shrinkToFit="1"/>
    </xf>
    <xf numFmtId="3" fontId="50" fillId="7" borderId="68" xfId="0" applyNumberFormat="1" applyFont="1" applyFill="1" applyBorder="1" applyAlignment="1" applyProtection="1">
      <alignment shrinkToFit="1"/>
    </xf>
    <xf numFmtId="1" fontId="50" fillId="7" borderId="44" xfId="0" applyNumberFormat="1" applyFont="1" applyFill="1" applyBorder="1" applyAlignment="1" applyProtection="1">
      <alignment vertical="center" shrinkToFit="1"/>
    </xf>
    <xf numFmtId="1" fontId="50" fillId="7" borderId="68" xfId="0" applyNumberFormat="1" applyFont="1" applyFill="1" applyBorder="1" applyAlignment="1" applyProtection="1">
      <alignment vertical="center" shrinkToFit="1"/>
    </xf>
    <xf numFmtId="1" fontId="50" fillId="7" borderId="44" xfId="0" applyNumberFormat="1" applyFont="1" applyFill="1" applyBorder="1" applyAlignment="1" applyProtection="1">
      <alignment shrinkToFit="1"/>
    </xf>
    <xf numFmtId="1" fontId="50" fillId="7" borderId="68" xfId="0" applyNumberFormat="1" applyFont="1" applyFill="1" applyBorder="1" applyAlignment="1" applyProtection="1">
      <alignment shrinkToFit="1"/>
    </xf>
    <xf numFmtId="3" fontId="50" fillId="7" borderId="44" xfId="0" applyNumberFormat="1" applyFont="1" applyFill="1" applyBorder="1"/>
    <xf numFmtId="3" fontId="50" fillId="7" borderId="68" xfId="0" applyNumberFormat="1" applyFont="1" applyFill="1" applyBorder="1"/>
    <xf numFmtId="165" fontId="52" fillId="7" borderId="44" xfId="0" applyNumberFormat="1" applyFont="1" applyFill="1" applyBorder="1" applyAlignment="1" applyProtection="1">
      <alignment vertical="top"/>
    </xf>
    <xf numFmtId="165" fontId="50" fillId="7" borderId="44" xfId="0" applyNumberFormat="1" applyFont="1" applyFill="1" applyBorder="1" applyAlignment="1" applyProtection="1">
      <alignment vertical="top"/>
    </xf>
    <xf numFmtId="165" fontId="50" fillId="7" borderId="66" xfId="0" applyNumberFormat="1" applyFont="1" applyFill="1" applyBorder="1" applyAlignment="1" applyProtection="1">
      <alignment vertical="top"/>
    </xf>
    <xf numFmtId="165" fontId="52" fillId="7" borderId="68" xfId="0" applyNumberFormat="1" applyFont="1" applyFill="1" applyBorder="1" applyAlignment="1" applyProtection="1">
      <alignment vertical="top"/>
    </xf>
    <xf numFmtId="165" fontId="50" fillId="7" borderId="68" xfId="0" applyNumberFormat="1" applyFont="1" applyFill="1" applyBorder="1" applyAlignment="1" applyProtection="1">
      <alignment vertical="top"/>
    </xf>
    <xf numFmtId="165" fontId="50" fillId="7" borderId="69" xfId="0" applyNumberFormat="1" applyFont="1" applyFill="1" applyBorder="1" applyAlignment="1" applyProtection="1">
      <alignment vertical="top"/>
    </xf>
    <xf numFmtId="165" fontId="18" fillId="3" borderId="44" xfId="0" applyNumberFormat="1" applyFont="1" applyFill="1" applyBorder="1" applyProtection="1"/>
    <xf numFmtId="165" fontId="18" fillId="3" borderId="44" xfId="0" applyNumberFormat="1" applyFont="1" applyFill="1" applyBorder="1" applyAlignment="1" applyProtection="1">
      <alignment horizontal="center"/>
    </xf>
    <xf numFmtId="165" fontId="18" fillId="3" borderId="66" xfId="0" applyNumberFormat="1" applyFont="1" applyFill="1" applyBorder="1" applyAlignment="1" applyProtection="1">
      <alignment vertical="top"/>
    </xf>
    <xf numFmtId="165" fontId="3" fillId="0" borderId="67" xfId="0" applyNumberFormat="1" applyFont="1" applyBorder="1" applyAlignment="1" applyProtection="1">
      <alignment horizontal="left"/>
    </xf>
    <xf numFmtId="165" fontId="3" fillId="0" borderId="68" xfId="0" applyNumberFormat="1" applyFont="1" applyBorder="1" applyAlignment="1" applyProtection="1">
      <alignment horizontal="left"/>
    </xf>
    <xf numFmtId="3" fontId="14" fillId="0" borderId="69" xfId="0" applyNumberFormat="1" applyFont="1" applyBorder="1" applyAlignment="1" applyProtection="1">
      <alignment shrinkToFit="1"/>
    </xf>
    <xf numFmtId="0" fontId="0" fillId="13" borderId="0" xfId="0" applyFill="1"/>
    <xf numFmtId="0" fontId="2" fillId="0" borderId="0" xfId="0" applyFont="1" applyAlignment="1">
      <alignment horizontal="left" vertical="top"/>
    </xf>
    <xf numFmtId="0" fontId="82" fillId="0" borderId="0" xfId="0" applyFont="1"/>
    <xf numFmtId="0" fontId="82" fillId="0" borderId="0" xfId="0" applyFont="1" applyAlignment="1">
      <alignment horizontal="left" vertical="top"/>
    </xf>
    <xf numFmtId="0" fontId="55" fillId="3" borderId="0" xfId="0" applyFont="1" applyFill="1" applyBorder="1"/>
    <xf numFmtId="0" fontId="83" fillId="3" borderId="0" xfId="0" applyFont="1" applyFill="1" applyBorder="1"/>
    <xf numFmtId="0" fontId="83" fillId="3" borderId="0" xfId="0" applyFont="1" applyFill="1" applyBorder="1" applyProtection="1">
      <protection locked="0"/>
    </xf>
    <xf numFmtId="0" fontId="84" fillId="3" borderId="0" xfId="0" applyFont="1" applyFill="1" applyBorder="1" applyProtection="1">
      <protection locked="0"/>
    </xf>
    <xf numFmtId="0" fontId="83" fillId="3" borderId="0" xfId="0" quotePrefix="1" applyFont="1" applyFill="1" applyBorder="1" applyProtection="1">
      <protection locked="0"/>
    </xf>
    <xf numFmtId="0" fontId="85" fillId="3" borderId="0" xfId="0" quotePrefix="1" applyFont="1" applyFill="1" applyBorder="1" applyAlignment="1" applyProtection="1">
      <alignment horizontal="left"/>
      <protection locked="0"/>
    </xf>
    <xf numFmtId="0" fontId="83" fillId="0" borderId="0" xfId="0" applyFont="1"/>
    <xf numFmtId="3" fontId="83" fillId="3" borderId="0" xfId="0" applyNumberFormat="1" applyFont="1" applyFill="1" applyBorder="1" applyProtection="1">
      <protection locked="0"/>
    </xf>
    <xf numFmtId="3" fontId="83" fillId="3" borderId="0" xfId="0" applyNumberFormat="1" applyFont="1" applyFill="1" applyBorder="1"/>
    <xf numFmtId="0" fontId="83" fillId="3" borderId="0" xfId="0" applyFont="1" applyFill="1" applyBorder="1" applyAlignment="1" applyProtection="1">
      <alignment horizontal="center"/>
      <protection locked="0"/>
    </xf>
    <xf numFmtId="14" fontId="83" fillId="3" borderId="0" xfId="0" quotePrefix="1" applyNumberFormat="1" applyFont="1" applyFill="1" applyBorder="1" applyProtection="1">
      <protection locked="0"/>
    </xf>
    <xf numFmtId="14" fontId="83" fillId="3" borderId="0" xfId="0" applyNumberFormat="1" applyFont="1" applyFill="1" applyBorder="1" applyProtection="1">
      <protection locked="0"/>
    </xf>
    <xf numFmtId="1" fontId="83" fillId="3" borderId="0" xfId="0" applyNumberFormat="1" applyFont="1" applyFill="1" applyBorder="1" applyAlignment="1" applyProtection="1">
      <alignment horizontal="right"/>
      <protection locked="0"/>
    </xf>
    <xf numFmtId="0" fontId="86" fillId="3" borderId="0" xfId="5" quotePrefix="1" applyFont="1" applyFill="1" applyBorder="1" applyAlignment="1">
      <alignment vertical="center" wrapText="1"/>
    </xf>
    <xf numFmtId="2" fontId="84" fillId="3" borderId="0" xfId="0" applyNumberFormat="1" applyFont="1" applyFill="1" applyBorder="1" applyProtection="1">
      <protection locked="0"/>
    </xf>
    <xf numFmtId="3" fontId="84" fillId="3" borderId="0" xfId="0" applyNumberFormat="1" applyFont="1" applyFill="1" applyBorder="1" applyAlignment="1">
      <alignment horizontal="center" vertical="center"/>
    </xf>
    <xf numFmtId="0" fontId="84" fillId="3" borderId="0" xfId="0" applyFont="1" applyFill="1" applyBorder="1" applyAlignment="1">
      <alignment horizontal="center"/>
    </xf>
    <xf numFmtId="0" fontId="84" fillId="3" borderId="0" xfId="0" applyFont="1" applyFill="1" applyBorder="1"/>
    <xf numFmtId="1" fontId="85" fillId="3" borderId="0" xfId="0" applyNumberFormat="1" applyFont="1" applyFill="1" applyBorder="1" applyAlignment="1">
      <alignment horizontal="center"/>
    </xf>
    <xf numFmtId="3" fontId="84" fillId="3" borderId="0" xfId="0" applyNumberFormat="1" applyFont="1" applyFill="1" applyBorder="1"/>
    <xf numFmtId="1" fontId="85" fillId="3" borderId="0" xfId="0" applyNumberFormat="1" applyFont="1" applyFill="1" applyBorder="1" applyAlignment="1">
      <alignment horizontal="right"/>
    </xf>
    <xf numFmtId="0" fontId="83" fillId="0" borderId="0" xfId="0" applyFont="1" applyAlignment="1">
      <alignment horizontal="left" vertical="top"/>
    </xf>
    <xf numFmtId="165" fontId="48" fillId="3" borderId="136" xfId="0" applyNumberFormat="1" applyFont="1" applyFill="1" applyBorder="1" applyAlignment="1" applyProtection="1">
      <alignment horizontal="center" vertical="top"/>
    </xf>
    <xf numFmtId="165" fontId="48" fillId="3" borderId="118" xfId="0" applyNumberFormat="1" applyFont="1" applyFill="1" applyBorder="1" applyAlignment="1" applyProtection="1">
      <alignment horizontal="center" vertical="top"/>
    </xf>
    <xf numFmtId="165" fontId="48" fillId="3" borderId="138" xfId="0" applyNumberFormat="1" applyFont="1" applyFill="1" applyBorder="1" applyAlignment="1" applyProtection="1">
      <alignment horizontal="center" vertical="top"/>
    </xf>
    <xf numFmtId="165" fontId="54" fillId="7" borderId="44" xfId="0" applyNumberFormat="1" applyFont="1" applyFill="1" applyBorder="1" applyAlignment="1" applyProtection="1">
      <alignment horizontal="left" vertical="center"/>
    </xf>
    <xf numFmtId="165" fontId="54" fillId="7" borderId="68" xfId="0" applyNumberFormat="1" applyFont="1" applyFill="1" applyBorder="1" applyAlignment="1" applyProtection="1">
      <alignment horizontal="left" vertical="center"/>
    </xf>
    <xf numFmtId="0" fontId="2" fillId="0" borderId="88" xfId="0" applyFont="1" applyBorder="1" applyAlignment="1">
      <alignment horizontal="left"/>
    </xf>
    <xf numFmtId="0" fontId="2" fillId="0" borderId="89" xfId="0" applyFont="1" applyBorder="1" applyAlignment="1">
      <alignment horizontal="left"/>
    </xf>
    <xf numFmtId="0" fontId="2" fillId="0" borderId="166" xfId="0" applyFont="1" applyBorder="1" applyAlignment="1">
      <alignment horizontal="left"/>
    </xf>
    <xf numFmtId="0" fontId="19" fillId="3" borderId="167" xfId="0" applyFont="1" applyFill="1" applyBorder="1" applyAlignment="1">
      <alignment horizontal="left"/>
    </xf>
    <xf numFmtId="0" fontId="19" fillId="3" borderId="168" xfId="0" applyFont="1" applyFill="1" applyBorder="1" applyAlignment="1">
      <alignment horizontal="left"/>
    </xf>
    <xf numFmtId="0" fontId="19" fillId="3" borderId="169" xfId="0" applyFont="1" applyFill="1" applyBorder="1" applyAlignment="1">
      <alignment horizontal="left"/>
    </xf>
    <xf numFmtId="0" fontId="2" fillId="3" borderId="92" xfId="0" applyFont="1" applyFill="1" applyBorder="1" applyAlignment="1">
      <alignment horizontal="left"/>
    </xf>
    <xf numFmtId="0" fontId="2" fillId="3" borderId="170" xfId="0" applyFont="1" applyFill="1" applyBorder="1" applyAlignment="1">
      <alignment horizontal="left"/>
    </xf>
    <xf numFmtId="0" fontId="2" fillId="3" borderId="171" xfId="0" applyFont="1" applyFill="1" applyBorder="1" applyAlignment="1">
      <alignment horizontal="left"/>
    </xf>
    <xf numFmtId="165" fontId="7" fillId="3" borderId="136" xfId="0" applyNumberFormat="1" applyFont="1" applyFill="1" applyBorder="1" applyAlignment="1" applyProtection="1">
      <alignment horizontal="center"/>
    </xf>
    <xf numFmtId="165" fontId="7" fillId="3" borderId="118" xfId="0" applyNumberFormat="1" applyFont="1" applyFill="1" applyBorder="1" applyAlignment="1" applyProtection="1">
      <alignment horizontal="center"/>
    </xf>
    <xf numFmtId="165" fontId="7" fillId="3" borderId="138" xfId="0" applyNumberFormat="1" applyFont="1" applyFill="1" applyBorder="1" applyAlignment="1" applyProtection="1">
      <alignment horizontal="center"/>
    </xf>
    <xf numFmtId="165" fontId="52" fillId="7" borderId="44" xfId="0" applyNumberFormat="1" applyFont="1" applyFill="1" applyBorder="1" applyAlignment="1" applyProtection="1">
      <alignment horizontal="center" vertical="top"/>
    </xf>
    <xf numFmtId="165" fontId="52" fillId="7" borderId="66" xfId="0" applyNumberFormat="1" applyFont="1" applyFill="1" applyBorder="1" applyAlignment="1" applyProtection="1">
      <alignment horizontal="center" vertical="top"/>
    </xf>
    <xf numFmtId="165" fontId="52" fillId="7" borderId="68" xfId="0" applyNumberFormat="1" applyFont="1" applyFill="1" applyBorder="1" applyAlignment="1" applyProtection="1">
      <alignment horizontal="center" vertical="top"/>
    </xf>
    <xf numFmtId="165" fontId="52" fillId="7" borderId="69" xfId="0" applyNumberFormat="1" applyFont="1" applyFill="1" applyBorder="1" applyAlignment="1" applyProtection="1">
      <alignment horizontal="center" vertical="top"/>
    </xf>
    <xf numFmtId="0" fontId="0" fillId="3" borderId="44" xfId="0" applyFill="1" applyBorder="1" applyAlignment="1">
      <alignment horizontal="center"/>
    </xf>
    <xf numFmtId="0" fontId="0" fillId="3" borderId="66" xfId="0" applyFill="1" applyBorder="1" applyAlignment="1">
      <alignment horizontal="center"/>
    </xf>
    <xf numFmtId="165" fontId="56" fillId="3" borderId="0" xfId="0" applyNumberFormat="1" applyFont="1" applyFill="1" applyBorder="1" applyAlignment="1">
      <alignment horizontal="left"/>
    </xf>
    <xf numFmtId="2" fontId="58" fillId="3" borderId="0" xfId="0" applyNumberFormat="1" applyFont="1" applyFill="1" applyBorder="1" applyAlignment="1">
      <alignment horizontal="center" vertical="top" wrapText="1"/>
    </xf>
    <xf numFmtId="165" fontId="55" fillId="3" borderId="0" xfId="0" applyNumberFormat="1" applyFont="1" applyFill="1" applyBorder="1" applyAlignment="1" applyProtection="1">
      <alignment horizontal="center"/>
    </xf>
    <xf numFmtId="165" fontId="59" fillId="3" borderId="0" xfId="0" applyNumberFormat="1" applyFont="1" applyFill="1" applyBorder="1" applyAlignment="1">
      <alignment horizontal="left"/>
    </xf>
    <xf numFmtId="165" fontId="58" fillId="3" borderId="0" xfId="0" applyNumberFormat="1" applyFont="1" applyFill="1" applyBorder="1" applyAlignment="1" applyProtection="1">
      <alignment horizontal="left"/>
    </xf>
    <xf numFmtId="165" fontId="65" fillId="3" borderId="0" xfId="0" applyNumberFormat="1" applyFont="1" applyFill="1" applyBorder="1" applyAlignment="1" applyProtection="1">
      <alignment horizontal="center"/>
    </xf>
    <xf numFmtId="165" fontId="61" fillId="3" borderId="0" xfId="0" applyNumberFormat="1" applyFont="1" applyFill="1" applyBorder="1" applyAlignment="1" applyProtection="1">
      <alignment horizontal="left" vertical="center"/>
    </xf>
    <xf numFmtId="165" fontId="57" fillId="3" borderId="0" xfId="0" quotePrefix="1" applyNumberFormat="1" applyFont="1" applyFill="1" applyBorder="1" applyAlignment="1" applyProtection="1">
      <alignment horizontal="left" vertical="center"/>
    </xf>
    <xf numFmtId="165" fontId="61" fillId="3" borderId="0" xfId="0" applyNumberFormat="1" applyFont="1" applyFill="1" applyBorder="1" applyAlignment="1">
      <alignment horizontal="left" vertical="center"/>
    </xf>
    <xf numFmtId="0" fontId="59" fillId="3" borderId="0" xfId="0" applyFont="1" applyFill="1" applyBorder="1" applyAlignment="1">
      <alignment horizontal="left"/>
    </xf>
    <xf numFmtId="165" fontId="57" fillId="3" borderId="0" xfId="0" applyNumberFormat="1" applyFont="1" applyFill="1" applyBorder="1" applyAlignment="1" applyProtection="1">
      <alignment horizontal="left" vertical="center"/>
    </xf>
    <xf numFmtId="0" fontId="56" fillId="3" borderId="0" xfId="0" applyFont="1" applyFill="1" applyBorder="1" applyAlignment="1">
      <alignment horizontal="left"/>
    </xf>
    <xf numFmtId="165" fontId="60" fillId="3" borderId="0" xfId="0" applyNumberFormat="1" applyFont="1" applyFill="1" applyBorder="1" applyAlignment="1" applyProtection="1">
      <alignment horizontal="left"/>
    </xf>
    <xf numFmtId="165" fontId="65" fillId="3" borderId="0" xfId="0" applyNumberFormat="1" applyFont="1" applyFill="1" applyBorder="1" applyAlignment="1" applyProtection="1">
      <alignment horizontal="left"/>
    </xf>
    <xf numFmtId="0" fontId="48" fillId="0" borderId="154" xfId="0" applyFont="1" applyBorder="1" applyAlignment="1">
      <alignment horizontal="center"/>
    </xf>
    <xf numFmtId="0" fontId="48" fillId="0" borderId="155" xfId="0" applyFont="1" applyBorder="1" applyAlignment="1">
      <alignment horizontal="center"/>
    </xf>
    <xf numFmtId="0" fontId="48" fillId="0" borderId="157" xfId="0" applyFont="1" applyBorder="1" applyAlignment="1">
      <alignment horizontal="center"/>
    </xf>
    <xf numFmtId="165" fontId="62" fillId="3" borderId="1" xfId="0" applyNumberFormat="1" applyFont="1" applyFill="1" applyBorder="1" applyAlignment="1" applyProtection="1">
      <alignment horizontal="left" vertical="center" wrapText="1" shrinkToFit="1"/>
    </xf>
    <xf numFmtId="165" fontId="62" fillId="3" borderId="8" xfId="0" applyNumberFormat="1" applyFont="1" applyFill="1" applyBorder="1" applyAlignment="1" applyProtection="1">
      <alignment horizontal="left" vertical="center" wrapText="1" shrinkToFit="1"/>
    </xf>
    <xf numFmtId="165" fontId="62" fillId="3" borderId="21" xfId="0" applyNumberFormat="1" applyFont="1" applyFill="1" applyBorder="1" applyAlignment="1" applyProtection="1">
      <alignment horizontal="left" vertical="center" wrapText="1" shrinkToFit="1"/>
    </xf>
    <xf numFmtId="165" fontId="62" fillId="3" borderId="9" xfId="0" applyNumberFormat="1" applyFont="1" applyFill="1" applyBorder="1" applyAlignment="1" applyProtection="1">
      <alignment horizontal="left" vertical="center" wrapText="1" shrinkToFit="1"/>
    </xf>
    <xf numFmtId="0" fontId="73" fillId="3" borderId="44" xfId="0" applyFont="1" applyFill="1" applyBorder="1" applyAlignment="1">
      <alignment horizontal="center"/>
    </xf>
    <xf numFmtId="0" fontId="73" fillId="3" borderId="66" xfId="0" applyFont="1" applyFill="1" applyBorder="1" applyAlignment="1">
      <alignment horizontal="center"/>
    </xf>
    <xf numFmtId="165" fontId="3" fillId="3" borderId="65" xfId="0" applyNumberFormat="1" applyFont="1" applyFill="1" applyBorder="1" applyAlignment="1" applyProtection="1">
      <alignment horizontal="left" shrinkToFit="1"/>
    </xf>
    <xf numFmtId="165" fontId="3" fillId="3" borderId="44" xfId="0" applyNumberFormat="1" applyFont="1" applyFill="1" applyBorder="1" applyAlignment="1" applyProtection="1">
      <alignment horizontal="left" shrinkToFit="1"/>
    </xf>
    <xf numFmtId="165" fontId="3" fillId="3" borderId="67" xfId="0" applyNumberFormat="1" applyFont="1" applyFill="1" applyBorder="1" applyAlignment="1" applyProtection="1">
      <alignment horizontal="left" shrinkToFit="1"/>
    </xf>
    <xf numFmtId="165" fontId="3" fillId="3" borderId="68" xfId="0" applyNumberFormat="1" applyFont="1" applyFill="1" applyBorder="1" applyAlignment="1" applyProtection="1">
      <alignment horizontal="left" shrinkToFit="1"/>
    </xf>
    <xf numFmtId="165" fontId="14" fillId="3" borderId="44" xfId="0" applyNumberFormat="1" applyFont="1" applyFill="1" applyBorder="1" applyAlignment="1" applyProtection="1">
      <alignment horizontal="center" vertical="center" wrapText="1"/>
    </xf>
    <xf numFmtId="0" fontId="50" fillId="7" borderId="158" xfId="1" applyNumberFormat="1" applyFont="1" applyFill="1" applyBorder="1" applyAlignment="1" applyProtection="1">
      <alignment vertical="top"/>
    </xf>
    <xf numFmtId="0" fontId="50" fillId="7" borderId="152" xfId="1" applyNumberFormat="1" applyFont="1" applyFill="1" applyBorder="1" applyAlignment="1" applyProtection="1">
      <alignment vertical="top"/>
    </xf>
    <xf numFmtId="0" fontId="50" fillId="7" borderId="156" xfId="1" applyNumberFormat="1" applyFont="1" applyFill="1" applyBorder="1" applyAlignment="1" applyProtection="1">
      <alignment vertical="top"/>
    </xf>
    <xf numFmtId="9" fontId="29" fillId="3" borderId="151" xfId="4" applyFont="1" applyFill="1" applyBorder="1" applyAlignment="1" applyProtection="1"/>
    <xf numFmtId="9" fontId="29" fillId="3" borderId="152" xfId="4" applyFont="1" applyFill="1" applyBorder="1" applyAlignment="1" applyProtection="1"/>
    <xf numFmtId="9" fontId="29" fillId="3" borderId="153" xfId="4" applyFont="1" applyFill="1" applyBorder="1" applyAlignment="1" applyProtection="1"/>
    <xf numFmtId="165" fontId="29" fillId="3" borderId="84" xfId="0" applyNumberFormat="1" applyFont="1" applyFill="1" applyBorder="1" applyAlignment="1" applyProtection="1">
      <alignment vertical="center"/>
    </xf>
    <xf numFmtId="165" fontId="29" fillId="3" borderId="48" xfId="0" applyNumberFormat="1" applyFont="1" applyFill="1" applyBorder="1" applyAlignment="1" applyProtection="1">
      <alignment vertical="center"/>
    </xf>
    <xf numFmtId="165" fontId="29" fillId="3" borderId="49" xfId="0" applyNumberFormat="1" applyFont="1" applyFill="1" applyBorder="1" applyAlignment="1" applyProtection="1">
      <alignment vertical="center"/>
    </xf>
    <xf numFmtId="165" fontId="29" fillId="3" borderId="84" xfId="0" applyNumberFormat="1" applyFont="1" applyFill="1" applyBorder="1" applyAlignment="1" applyProtection="1"/>
    <xf numFmtId="165" fontId="29" fillId="3" borderId="48" xfId="0" applyNumberFormat="1" applyFont="1" applyFill="1" applyBorder="1" applyAlignment="1" applyProtection="1"/>
    <xf numFmtId="165" fontId="29" fillId="3" borderId="49" xfId="0" applyNumberFormat="1" applyFont="1" applyFill="1" applyBorder="1" applyAlignment="1" applyProtection="1"/>
    <xf numFmtId="9" fontId="29" fillId="3" borderId="84" xfId="4" applyFont="1" applyFill="1" applyBorder="1" applyAlignment="1" applyProtection="1"/>
    <xf numFmtId="9" fontId="29" fillId="3" borderId="48" xfId="4" applyFont="1" applyFill="1" applyBorder="1" applyAlignment="1" applyProtection="1"/>
    <xf numFmtId="9" fontId="29" fillId="3" borderId="49" xfId="4" applyFont="1" applyFill="1" applyBorder="1" applyAlignment="1" applyProtection="1"/>
    <xf numFmtId="0" fontId="50" fillId="7" borderId="47" xfId="1" applyNumberFormat="1" applyFont="1" applyFill="1" applyBorder="1" applyAlignment="1" applyProtection="1">
      <alignment vertical="top"/>
    </xf>
    <xf numFmtId="0" fontId="50" fillId="7" borderId="48" xfId="1" applyNumberFormat="1" applyFont="1" applyFill="1" applyBorder="1" applyAlignment="1" applyProtection="1">
      <alignment vertical="top"/>
    </xf>
    <xf numFmtId="0" fontId="50" fillId="7" borderId="72" xfId="1" applyNumberFormat="1" applyFont="1" applyFill="1" applyBorder="1" applyAlignment="1" applyProtection="1">
      <alignment vertical="top"/>
    </xf>
    <xf numFmtId="165" fontId="3" fillId="3" borderId="161" xfId="0" applyNumberFormat="1" applyFont="1" applyFill="1" applyBorder="1" applyAlignment="1" applyProtection="1">
      <alignment horizontal="left" vertical="top"/>
    </xf>
    <xf numFmtId="165" fontId="3" fillId="3" borderId="162" xfId="0" applyNumberFormat="1" applyFont="1" applyFill="1" applyBorder="1" applyAlignment="1" applyProtection="1">
      <alignment horizontal="left" vertical="top"/>
    </xf>
    <xf numFmtId="0" fontId="10" fillId="3" borderId="150" xfId="0" applyFont="1" applyFill="1" applyBorder="1" applyAlignment="1">
      <alignment horizontal="left" shrinkToFit="1"/>
    </xf>
    <xf numFmtId="0" fontId="10" fillId="3" borderId="140" xfId="0" applyFont="1" applyFill="1" applyBorder="1" applyAlignment="1">
      <alignment horizontal="left" shrinkToFit="1"/>
    </xf>
    <xf numFmtId="165" fontId="27" fillId="3" borderId="158" xfId="0" applyNumberFormat="1" applyFont="1" applyFill="1" applyBorder="1" applyAlignment="1" applyProtection="1">
      <alignment horizontal="left" shrinkToFit="1"/>
    </xf>
    <xf numFmtId="165" fontId="27" fillId="3" borderId="152" xfId="0" applyNumberFormat="1" applyFont="1" applyFill="1" applyBorder="1" applyAlignment="1" applyProtection="1">
      <alignment horizontal="left" shrinkToFit="1"/>
    </xf>
    <xf numFmtId="165" fontId="3" fillId="3" borderId="172" xfId="0" applyNumberFormat="1" applyFont="1" applyFill="1" applyBorder="1" applyAlignment="1" applyProtection="1">
      <alignment horizontal="center" shrinkToFit="1"/>
    </xf>
    <xf numFmtId="165" fontId="3" fillId="3" borderId="52" xfId="0" applyNumberFormat="1" applyFont="1" applyFill="1" applyBorder="1" applyAlignment="1" applyProtection="1">
      <alignment horizontal="center" shrinkToFit="1"/>
    </xf>
    <xf numFmtId="0" fontId="2" fillId="3" borderId="187" xfId="0" applyFont="1" applyFill="1" applyBorder="1" applyAlignment="1">
      <alignment horizontal="center" vertical="center" wrapText="1"/>
    </xf>
    <xf numFmtId="0" fontId="0" fillId="3" borderId="187" xfId="0" applyFill="1" applyBorder="1" applyAlignment="1">
      <alignment horizontal="center" vertical="center" wrapText="1"/>
    </xf>
    <xf numFmtId="165" fontId="57" fillId="3" borderId="0" xfId="0" applyNumberFormat="1" applyFont="1" applyFill="1" applyBorder="1" applyAlignment="1" applyProtection="1">
      <alignment horizontal="left"/>
    </xf>
    <xf numFmtId="164" fontId="29" fillId="3" borderId="139" xfId="1" applyFont="1" applyFill="1" applyBorder="1" applyAlignment="1" applyProtection="1"/>
    <xf numFmtId="164" fontId="29" fillId="3" borderId="140" xfId="1" applyFont="1" applyFill="1" applyBorder="1" applyAlignment="1" applyProtection="1"/>
    <xf numFmtId="164" fontId="29" fillId="3" borderId="149" xfId="1" applyFont="1" applyFill="1" applyBorder="1" applyAlignment="1" applyProtection="1"/>
    <xf numFmtId="165" fontId="14" fillId="3" borderId="44" xfId="0" applyNumberFormat="1" applyFont="1" applyFill="1" applyBorder="1" applyAlignment="1" applyProtection="1">
      <alignment horizontal="left" vertical="center" wrapText="1"/>
    </xf>
    <xf numFmtId="165" fontId="63" fillId="3" borderId="0" xfId="0" applyNumberFormat="1" applyFont="1" applyFill="1" applyBorder="1" applyAlignment="1" applyProtection="1">
      <alignment vertical="center"/>
    </xf>
    <xf numFmtId="165" fontId="58" fillId="3" borderId="0" xfId="0" applyNumberFormat="1" applyFont="1" applyFill="1" applyBorder="1" applyAlignment="1" applyProtection="1">
      <alignment horizontal="left" vertical="top" wrapText="1"/>
    </xf>
    <xf numFmtId="165" fontId="63" fillId="3" borderId="0" xfId="0" applyNumberFormat="1" applyFont="1" applyFill="1" applyBorder="1" applyAlignment="1" applyProtection="1">
      <alignment horizontal="left" vertical="center"/>
    </xf>
    <xf numFmtId="165" fontId="14" fillId="3" borderId="65" xfId="0" applyNumberFormat="1" applyFont="1" applyFill="1" applyBorder="1" applyAlignment="1" applyProtection="1">
      <alignment horizontal="left"/>
    </xf>
    <xf numFmtId="165" fontId="14" fillId="3" borderId="44" xfId="0" applyNumberFormat="1" applyFont="1" applyFill="1" applyBorder="1" applyAlignment="1" applyProtection="1">
      <alignment horizontal="left"/>
    </xf>
    <xf numFmtId="0" fontId="13" fillId="0" borderId="44" xfId="0" applyFont="1" applyBorder="1" applyAlignment="1">
      <alignment horizontal="left"/>
    </xf>
    <xf numFmtId="165" fontId="26" fillId="3" borderId="151" xfId="0" applyNumberFormat="1" applyFont="1" applyFill="1" applyBorder="1" applyAlignment="1" applyProtection="1"/>
    <xf numFmtId="165" fontId="26" fillId="3" borderId="152" xfId="0" applyNumberFormat="1" applyFont="1" applyFill="1" applyBorder="1" applyAlignment="1" applyProtection="1"/>
    <xf numFmtId="165" fontId="26" fillId="3" borderId="153" xfId="0" applyNumberFormat="1" applyFont="1" applyFill="1" applyBorder="1" applyAlignment="1" applyProtection="1"/>
    <xf numFmtId="0" fontId="49" fillId="3" borderId="84" xfId="0" applyFont="1" applyFill="1" applyBorder="1" applyAlignment="1">
      <alignment vertical="center"/>
    </xf>
    <xf numFmtId="0" fontId="49" fillId="3" borderId="48" xfId="0" applyFont="1" applyFill="1" applyBorder="1" applyAlignment="1">
      <alignment vertical="center"/>
    </xf>
    <xf numFmtId="0" fontId="49" fillId="3" borderId="49" xfId="0" applyFont="1" applyFill="1" applyBorder="1" applyAlignment="1">
      <alignment vertical="center"/>
    </xf>
    <xf numFmtId="0" fontId="15" fillId="3" borderId="84" xfId="0" applyFont="1" applyFill="1" applyBorder="1" applyAlignment="1"/>
    <xf numFmtId="0" fontId="15" fillId="3" borderId="48" xfId="0" applyFont="1" applyFill="1" applyBorder="1" applyAlignment="1"/>
    <xf numFmtId="0" fontId="15" fillId="3" borderId="49" xfId="0" applyFont="1" applyFill="1" applyBorder="1" applyAlignment="1"/>
    <xf numFmtId="165" fontId="27" fillId="3" borderId="156" xfId="0" applyNumberFormat="1" applyFont="1" applyFill="1" applyBorder="1" applyAlignment="1" applyProtection="1">
      <alignment horizontal="left" shrinkToFit="1"/>
    </xf>
    <xf numFmtId="0" fontId="10" fillId="3" borderId="73" xfId="0" applyFont="1" applyFill="1" applyBorder="1" applyAlignment="1">
      <alignment horizontal="left" shrinkToFit="1"/>
    </xf>
    <xf numFmtId="0" fontId="48" fillId="3" borderId="142" xfId="0" applyFont="1" applyFill="1" applyBorder="1" applyAlignment="1">
      <alignment horizontal="center"/>
    </xf>
    <xf numFmtId="0" fontId="48" fillId="3" borderId="143" xfId="0" applyFont="1" applyFill="1" applyBorder="1" applyAlignment="1">
      <alignment horizontal="center"/>
    </xf>
    <xf numFmtId="0" fontId="48" fillId="3" borderId="80" xfId="0" applyFont="1" applyFill="1" applyBorder="1" applyAlignment="1">
      <alignment horizontal="center"/>
    </xf>
    <xf numFmtId="0" fontId="48" fillId="3" borderId="144" xfId="0" applyFont="1" applyFill="1" applyBorder="1" applyAlignment="1">
      <alignment horizontal="center"/>
    </xf>
    <xf numFmtId="0" fontId="71" fillId="3" borderId="136" xfId="0" applyFont="1" applyFill="1" applyBorder="1" applyAlignment="1">
      <alignment horizontal="center"/>
    </xf>
    <xf numFmtId="0" fontId="71" fillId="3" borderId="118" xfId="0" applyFont="1" applyFill="1" applyBorder="1" applyAlignment="1">
      <alignment horizontal="center"/>
    </xf>
    <xf numFmtId="0" fontId="71" fillId="3" borderId="138" xfId="0" applyFont="1" applyFill="1" applyBorder="1" applyAlignment="1">
      <alignment horizontal="center"/>
    </xf>
    <xf numFmtId="0" fontId="13" fillId="3" borderId="84" xfId="0" applyFont="1" applyFill="1" applyBorder="1" applyAlignment="1">
      <alignment horizontal="left"/>
    </xf>
    <xf numFmtId="0" fontId="13" fillId="3" borderId="48" xfId="0" applyFont="1" applyFill="1" applyBorder="1" applyAlignment="1">
      <alignment horizontal="left"/>
    </xf>
    <xf numFmtId="0" fontId="13" fillId="3" borderId="52" xfId="0" applyFont="1" applyFill="1" applyBorder="1" applyAlignment="1">
      <alignment horizontal="left"/>
    </xf>
    <xf numFmtId="0" fontId="71" fillId="3" borderId="62" xfId="0" applyFont="1" applyFill="1" applyBorder="1" applyAlignment="1">
      <alignment horizontal="center"/>
    </xf>
    <xf numFmtId="0" fontId="71" fillId="3" borderId="63" xfId="0" applyFont="1" applyFill="1" applyBorder="1" applyAlignment="1">
      <alignment horizontal="center"/>
    </xf>
    <xf numFmtId="0" fontId="71" fillId="3" borderId="64" xfId="0" applyFont="1" applyFill="1" applyBorder="1" applyAlignment="1">
      <alignment horizontal="center"/>
    </xf>
    <xf numFmtId="165" fontId="4" fillId="3" borderId="65" xfId="0" applyNumberFormat="1" applyFont="1" applyFill="1" applyBorder="1" applyAlignment="1" applyProtection="1">
      <alignment horizontal="left"/>
    </xf>
    <xf numFmtId="165" fontId="4" fillId="3" borderId="44" xfId="0" applyNumberFormat="1" applyFont="1" applyFill="1" applyBorder="1" applyAlignment="1" applyProtection="1">
      <alignment horizontal="left"/>
    </xf>
    <xf numFmtId="165" fontId="3" fillId="3" borderId="65" xfId="0" applyNumberFormat="1" applyFont="1" applyFill="1" applyBorder="1" applyAlignment="1" applyProtection="1">
      <alignment horizontal="left" vertical="center"/>
    </xf>
    <xf numFmtId="165" fontId="3" fillId="3" borderId="44" xfId="0" applyNumberFormat="1" applyFont="1" applyFill="1" applyBorder="1" applyAlignment="1" applyProtection="1">
      <alignment horizontal="left" vertical="center"/>
    </xf>
    <xf numFmtId="165" fontId="3" fillId="3" borderId="65" xfId="0" applyNumberFormat="1" applyFont="1" applyFill="1" applyBorder="1" applyAlignment="1" applyProtection="1">
      <alignment horizontal="left"/>
    </xf>
    <xf numFmtId="165" fontId="3" fillId="3" borderId="44" xfId="0" applyNumberFormat="1" applyFont="1" applyFill="1" applyBorder="1" applyAlignment="1" applyProtection="1">
      <alignment horizontal="left"/>
    </xf>
    <xf numFmtId="165" fontId="14" fillId="3" borderId="67" xfId="0" applyNumberFormat="1" applyFont="1" applyFill="1" applyBorder="1" applyAlignment="1" applyProtection="1">
      <alignment horizontal="left"/>
    </xf>
    <xf numFmtId="165" fontId="14" fillId="3" borderId="68" xfId="0" applyNumberFormat="1" applyFont="1" applyFill="1" applyBorder="1" applyAlignment="1" applyProtection="1">
      <alignment horizontal="left"/>
    </xf>
    <xf numFmtId="0" fontId="48" fillId="3" borderId="136" xfId="0" applyFont="1" applyFill="1" applyBorder="1" applyAlignment="1">
      <alignment horizontal="center"/>
    </xf>
    <xf numFmtId="0" fontId="48" fillId="3" borderId="118" xfId="0" applyFont="1" applyFill="1" applyBorder="1" applyAlignment="1">
      <alignment horizontal="center"/>
    </xf>
    <xf numFmtId="0" fontId="48" fillId="3" borderId="138" xfId="0" applyFont="1" applyFill="1" applyBorder="1" applyAlignment="1">
      <alignment horizontal="center"/>
    </xf>
    <xf numFmtId="165" fontId="3" fillId="3" borderId="67" xfId="0" applyNumberFormat="1" applyFont="1" applyFill="1" applyBorder="1" applyAlignment="1" applyProtection="1">
      <alignment horizontal="left"/>
    </xf>
    <xf numFmtId="165" fontId="3" fillId="3" borderId="68" xfId="0" applyNumberFormat="1" applyFont="1" applyFill="1" applyBorder="1" applyAlignment="1" applyProtection="1">
      <alignment horizontal="left"/>
    </xf>
    <xf numFmtId="0" fontId="13" fillId="0" borderId="68" xfId="0" applyFont="1" applyBorder="1" applyAlignment="1">
      <alignment horizontal="left"/>
    </xf>
    <xf numFmtId="165" fontId="14" fillId="3" borderId="183" xfId="0" applyNumberFormat="1" applyFont="1" applyFill="1" applyBorder="1" applyAlignment="1" applyProtection="1">
      <alignment horizontal="left"/>
    </xf>
    <xf numFmtId="165" fontId="14" fillId="3" borderId="184" xfId="0" applyNumberFormat="1" applyFont="1" applyFill="1" applyBorder="1" applyAlignment="1" applyProtection="1">
      <alignment horizontal="left"/>
    </xf>
    <xf numFmtId="165" fontId="14" fillId="3" borderId="185" xfId="0" applyNumberFormat="1" applyFont="1" applyFill="1" applyBorder="1" applyAlignment="1" applyProtection="1">
      <alignment horizontal="left"/>
    </xf>
    <xf numFmtId="0" fontId="2" fillId="3" borderId="95" xfId="0" applyFont="1" applyFill="1" applyBorder="1" applyAlignment="1">
      <alignment horizontal="left"/>
    </xf>
    <xf numFmtId="0" fontId="2" fillId="3" borderId="44" xfId="0" applyFont="1" applyFill="1" applyBorder="1" applyAlignment="1">
      <alignment horizontal="center" vertical="top"/>
    </xf>
    <xf numFmtId="0" fontId="2" fillId="3" borderId="44" xfId="0" applyFont="1" applyFill="1" applyBorder="1" applyAlignment="1">
      <alignment horizontal="center"/>
    </xf>
    <xf numFmtId="0" fontId="2" fillId="3" borderId="66" xfId="0" applyFont="1" applyFill="1" applyBorder="1" applyAlignment="1">
      <alignment horizontal="center"/>
    </xf>
    <xf numFmtId="165" fontId="27" fillId="3" borderId="65" xfId="0" applyNumberFormat="1" applyFont="1" applyFill="1" applyBorder="1" applyAlignment="1" applyProtection="1">
      <alignment horizontal="center" shrinkToFit="1"/>
    </xf>
    <xf numFmtId="165" fontId="27" fillId="3" borderId="44" xfId="0" applyNumberFormat="1" applyFont="1" applyFill="1" applyBorder="1" applyAlignment="1" applyProtection="1">
      <alignment horizontal="center" shrinkToFit="1"/>
    </xf>
    <xf numFmtId="0" fontId="70" fillId="0" borderId="62" xfId="0" applyFont="1" applyBorder="1" applyAlignment="1">
      <alignment horizontal="center"/>
    </xf>
    <xf numFmtId="0" fontId="70" fillId="0" borderId="63" xfId="0" applyFont="1" applyBorder="1" applyAlignment="1">
      <alignment horizontal="center"/>
    </xf>
    <xf numFmtId="0" fontId="70" fillId="0" borderId="64" xfId="0" applyFont="1" applyBorder="1" applyAlignment="1">
      <alignment horizontal="center"/>
    </xf>
    <xf numFmtId="165" fontId="14" fillId="3" borderId="75" xfId="0" applyNumberFormat="1" applyFont="1" applyFill="1" applyBorder="1" applyAlignment="1" applyProtection="1">
      <alignment horizontal="center" vertical="center" wrapText="1"/>
    </xf>
    <xf numFmtId="167" fontId="13" fillId="3" borderId="81" xfId="0" applyNumberFormat="1" applyFont="1" applyFill="1" applyBorder="1" applyAlignment="1" applyProtection="1">
      <alignment horizontal="center"/>
    </xf>
    <xf numFmtId="167" fontId="13" fillId="3" borderId="82" xfId="0" applyNumberFormat="1" applyFont="1" applyFill="1" applyBorder="1" applyAlignment="1" applyProtection="1">
      <alignment horizontal="center"/>
    </xf>
    <xf numFmtId="167" fontId="13" fillId="3" borderId="83" xfId="0" applyNumberFormat="1" applyFont="1" applyFill="1" applyBorder="1" applyAlignment="1" applyProtection="1">
      <alignment horizontal="center"/>
    </xf>
    <xf numFmtId="165" fontId="13" fillId="3" borderId="84" xfId="0" applyNumberFormat="1" applyFont="1" applyFill="1" applyBorder="1" applyAlignment="1" applyProtection="1">
      <alignment horizontal="left"/>
    </xf>
    <xf numFmtId="165" fontId="13" fillId="3" borderId="48" xfId="0" applyNumberFormat="1" applyFont="1" applyFill="1" applyBorder="1" applyAlignment="1" applyProtection="1">
      <alignment horizontal="left"/>
    </xf>
    <xf numFmtId="165" fontId="13" fillId="3" borderId="52" xfId="0" applyNumberFormat="1" applyFont="1" applyFill="1" applyBorder="1" applyAlignment="1" applyProtection="1">
      <alignment horizontal="left"/>
    </xf>
    <xf numFmtId="165" fontId="71" fillId="3" borderId="151" xfId="0" applyNumberFormat="1" applyFont="1" applyFill="1" applyBorder="1" applyAlignment="1" applyProtection="1">
      <alignment horizontal="center"/>
    </xf>
    <xf numFmtId="165" fontId="71" fillId="3" borderId="152" xfId="0" applyNumberFormat="1" applyFont="1" applyFill="1" applyBorder="1" applyAlignment="1" applyProtection="1">
      <alignment horizontal="center"/>
    </xf>
    <xf numFmtId="165" fontId="71" fillId="3" borderId="177" xfId="0" applyNumberFormat="1" applyFont="1" applyFill="1" applyBorder="1" applyAlignment="1" applyProtection="1">
      <alignment horizontal="center"/>
    </xf>
    <xf numFmtId="165" fontId="3" fillId="3" borderId="175" xfId="0" applyNumberFormat="1" applyFont="1" applyFill="1" applyBorder="1" applyAlignment="1" applyProtection="1">
      <alignment horizontal="center" shrinkToFit="1"/>
    </xf>
    <xf numFmtId="165" fontId="3" fillId="3" borderId="141" xfId="0" applyNumberFormat="1" applyFont="1" applyFill="1" applyBorder="1" applyAlignment="1" applyProtection="1">
      <alignment horizontal="center" shrinkToFit="1"/>
    </xf>
    <xf numFmtId="165" fontId="3" fillId="3" borderId="68" xfId="0" applyNumberFormat="1" applyFont="1" applyFill="1" applyBorder="1" applyAlignment="1" applyProtection="1">
      <alignment horizontal="center"/>
    </xf>
    <xf numFmtId="167" fontId="80" fillId="3" borderId="136" xfId="0" applyNumberFormat="1" applyFont="1" applyFill="1" applyBorder="1" applyAlignment="1" applyProtection="1">
      <alignment horizontal="center"/>
    </xf>
    <xf numFmtId="167" fontId="80" fillId="3" borderId="118" xfId="0" applyNumberFormat="1" applyFont="1" applyFill="1" applyBorder="1" applyAlignment="1" applyProtection="1">
      <alignment horizontal="center"/>
    </xf>
    <xf numFmtId="165" fontId="18" fillId="0" borderId="204" xfId="0" applyNumberFormat="1" applyFont="1" applyBorder="1" applyAlignment="1" applyProtection="1">
      <alignment horizontal="left"/>
    </xf>
    <xf numFmtId="165" fontId="18" fillId="0" borderId="202" xfId="0" applyNumberFormat="1" applyFont="1" applyBorder="1" applyAlignment="1" applyProtection="1">
      <alignment horizontal="left"/>
    </xf>
    <xf numFmtId="165" fontId="18" fillId="0" borderId="174" xfId="0" applyNumberFormat="1" applyFont="1" applyBorder="1" applyAlignment="1" applyProtection="1">
      <alignment horizontal="left"/>
    </xf>
    <xf numFmtId="165" fontId="18" fillId="0" borderId="124" xfId="0" applyNumberFormat="1" applyFont="1" applyBorder="1" applyAlignment="1" applyProtection="1">
      <alignment horizontal="left"/>
    </xf>
    <xf numFmtId="0" fontId="33" fillId="0" borderId="15" xfId="0" applyNumberFormat="1" applyFont="1" applyBorder="1" applyAlignment="1" applyProtection="1">
      <alignment horizontal="center" vertical="center" shrinkToFit="1"/>
      <protection hidden="1"/>
    </xf>
    <xf numFmtId="165" fontId="74" fillId="0" borderId="65" xfId="0" applyNumberFormat="1" applyFont="1" applyBorder="1" applyAlignment="1" applyProtection="1">
      <alignment horizontal="left" vertical="center"/>
    </xf>
    <xf numFmtId="165" fontId="74" fillId="0" borderId="44" xfId="0" applyNumberFormat="1" applyFont="1" applyBorder="1" applyAlignment="1" applyProtection="1">
      <alignment horizontal="left" vertical="center"/>
    </xf>
    <xf numFmtId="165" fontId="14" fillId="0" borderId="65" xfId="0" applyNumberFormat="1" applyFont="1" applyBorder="1" applyAlignment="1" applyProtection="1">
      <alignment horizontal="left"/>
    </xf>
    <xf numFmtId="165" fontId="14" fillId="0" borderId="44" xfId="0" applyNumberFormat="1" applyFont="1" applyBorder="1" applyAlignment="1" applyProtection="1">
      <alignment horizontal="left"/>
    </xf>
    <xf numFmtId="165" fontId="18" fillId="0" borderId="207" xfId="0" applyNumberFormat="1" applyFont="1" applyBorder="1" applyAlignment="1" applyProtection="1">
      <alignment horizontal="left"/>
    </xf>
    <xf numFmtId="165" fontId="3" fillId="0" borderId="0" xfId="0" applyNumberFormat="1" applyFont="1" applyBorder="1" applyAlignment="1" applyProtection="1">
      <alignment horizontal="center" vertical="center" wrapText="1"/>
    </xf>
    <xf numFmtId="165" fontId="3" fillId="0" borderId="8" xfId="0" applyNumberFormat="1" applyFont="1" applyBorder="1" applyAlignment="1" applyProtection="1">
      <alignment horizontal="center" vertical="center" wrapText="1"/>
    </xf>
    <xf numFmtId="165" fontId="44" fillId="0" borderId="0" xfId="0" applyNumberFormat="1" applyFont="1" applyBorder="1" applyAlignment="1" applyProtection="1">
      <alignment shrinkToFit="1"/>
    </xf>
    <xf numFmtId="0" fontId="45" fillId="0" borderId="0" xfId="0" applyFont="1" applyBorder="1" applyAlignment="1">
      <alignment shrinkToFit="1"/>
    </xf>
    <xf numFmtId="0" fontId="45" fillId="0" borderId="11" xfId="0" applyFont="1" applyBorder="1" applyAlignment="1">
      <alignment shrinkToFit="1"/>
    </xf>
    <xf numFmtId="0" fontId="0" fillId="0" borderId="0" xfId="0" applyBorder="1" applyAlignment="1">
      <alignment wrapText="1"/>
    </xf>
    <xf numFmtId="0" fontId="0" fillId="0" borderId="11" xfId="0" applyBorder="1" applyAlignment="1">
      <alignment wrapText="1"/>
    </xf>
    <xf numFmtId="165" fontId="26" fillId="0" borderId="0" xfId="0" applyNumberFormat="1" applyFont="1" applyBorder="1" applyAlignment="1" applyProtection="1">
      <alignment horizontal="center"/>
    </xf>
    <xf numFmtId="165" fontId="26" fillId="0" borderId="11" xfId="0" applyNumberFormat="1" applyFont="1" applyBorder="1" applyAlignment="1" applyProtection="1">
      <alignment horizontal="center"/>
    </xf>
    <xf numFmtId="165" fontId="39" fillId="8" borderId="0" xfId="0" applyNumberFormat="1" applyFont="1" applyFill="1" applyBorder="1" applyAlignment="1" applyProtection="1">
      <alignment horizontal="center" vertical="center" wrapText="1" shrinkToFit="1"/>
    </xf>
    <xf numFmtId="165" fontId="39" fillId="8" borderId="11" xfId="0" applyNumberFormat="1" applyFont="1" applyFill="1" applyBorder="1" applyAlignment="1" applyProtection="1">
      <alignment horizontal="center" vertical="center" wrapText="1" shrinkToFit="1"/>
    </xf>
    <xf numFmtId="0" fontId="16" fillId="0" borderId="0" xfId="0" quotePrefix="1" applyFont="1" applyBorder="1" applyAlignment="1">
      <alignment horizontal="justify" vertical="top" wrapText="1"/>
    </xf>
    <xf numFmtId="0" fontId="16" fillId="0" borderId="0" xfId="0" applyFont="1" applyBorder="1" applyAlignment="1">
      <alignment horizontal="justify" vertical="top" wrapText="1"/>
    </xf>
    <xf numFmtId="0" fontId="16" fillId="0" borderId="11" xfId="0" applyFont="1" applyBorder="1" applyAlignment="1">
      <alignment horizontal="justify" vertical="top" wrapText="1"/>
    </xf>
    <xf numFmtId="165"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left" vertical="top" wrapText="1" indent="1"/>
    </xf>
    <xf numFmtId="165" fontId="3" fillId="0" borderId="11" xfId="0" applyNumberFormat="1" applyFont="1" applyBorder="1" applyAlignment="1" applyProtection="1">
      <alignment horizontal="left" vertical="top" wrapText="1" indent="1"/>
    </xf>
    <xf numFmtId="165" fontId="5" fillId="0" borderId="0" xfId="0" applyNumberFormat="1" applyFont="1" applyBorder="1" applyAlignment="1" applyProtection="1">
      <alignment horizontal="center" vertical="center" wrapText="1"/>
    </xf>
    <xf numFmtId="0" fontId="17" fillId="0" borderId="0" xfId="0" applyFont="1" applyBorder="1" applyAlignment="1">
      <alignment horizontal="center" vertical="center" wrapText="1"/>
    </xf>
    <xf numFmtId="165" fontId="18" fillId="0" borderId="0" xfId="0" applyNumberFormat="1" applyFont="1" applyBorder="1" applyAlignment="1" applyProtection="1">
      <alignment vertical="top" wrapText="1"/>
    </xf>
    <xf numFmtId="165" fontId="13"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165" fontId="16" fillId="0" borderId="0" xfId="0" applyNumberFormat="1" applyFont="1" applyBorder="1" applyAlignment="1">
      <alignment horizontal="left" vertical="top" wrapText="1" indent="1"/>
    </xf>
    <xf numFmtId="0" fontId="16" fillId="0" borderId="0" xfId="0" applyFont="1" applyBorder="1" applyAlignment="1">
      <alignment horizontal="left" vertical="top" wrapText="1" indent="1"/>
    </xf>
    <xf numFmtId="0" fontId="16" fillId="0" borderId="11" xfId="0" applyFont="1" applyBorder="1" applyAlignment="1">
      <alignment horizontal="left" vertical="top" wrapText="1" indent="1"/>
    </xf>
    <xf numFmtId="165" fontId="14" fillId="0" borderId="0" xfId="0" applyNumberFormat="1" applyFont="1" applyBorder="1" applyAlignment="1" applyProtection="1">
      <alignment horizontal="left" vertical="top" wrapText="1" indent="1"/>
    </xf>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36" fillId="0" borderId="38" xfId="0" applyFont="1" applyBorder="1" applyAlignment="1">
      <alignment horizontal="center"/>
    </xf>
    <xf numFmtId="0" fontId="36" fillId="0" borderId="54" xfId="0" applyFont="1" applyBorder="1" applyAlignment="1">
      <alignment horizontal="center"/>
    </xf>
    <xf numFmtId="0" fontId="36" fillId="0" borderId="39" xfId="0" applyFont="1" applyBorder="1" applyAlignment="1">
      <alignment horizontal="center"/>
    </xf>
    <xf numFmtId="0" fontId="43" fillId="0" borderId="240" xfId="0" applyFont="1" applyBorder="1" applyAlignment="1">
      <alignment horizontal="center" vertical="center" wrapText="1"/>
    </xf>
    <xf numFmtId="0" fontId="0" fillId="0" borderId="206" xfId="0" applyBorder="1"/>
    <xf numFmtId="0" fontId="0" fillId="0" borderId="241" xfId="0" applyBorder="1"/>
    <xf numFmtId="0" fontId="0" fillId="0" borderId="32" xfId="0" applyBorder="1"/>
    <xf numFmtId="0" fontId="0" fillId="0" borderId="50" xfId="0" applyBorder="1"/>
    <xf numFmtId="0" fontId="0" fillId="0" borderId="242" xfId="0" applyBorder="1"/>
    <xf numFmtId="165" fontId="78" fillId="8" borderId="212" xfId="0" applyNumberFormat="1" applyFont="1" applyFill="1" applyBorder="1" applyAlignment="1" applyProtection="1">
      <alignment horizontal="center" vertical="top" wrapText="1"/>
    </xf>
    <xf numFmtId="165" fontId="78" fillId="8" borderId="0" xfId="0" applyNumberFormat="1" applyFont="1" applyFill="1" applyBorder="1" applyAlignment="1" applyProtection="1">
      <alignment horizontal="center" vertical="top" wrapText="1"/>
    </xf>
    <xf numFmtId="165" fontId="78" fillId="8" borderId="11" xfId="0" applyNumberFormat="1" applyFont="1" applyFill="1" applyBorder="1" applyAlignment="1" applyProtection="1">
      <alignment horizontal="center" vertical="top" wrapText="1"/>
    </xf>
    <xf numFmtId="165" fontId="78" fillId="8" borderId="104" xfId="0" applyNumberFormat="1" applyFont="1" applyFill="1" applyBorder="1" applyAlignment="1" applyProtection="1">
      <alignment horizontal="center" vertical="center"/>
    </xf>
    <xf numFmtId="165" fontId="78" fillId="8" borderId="105" xfId="0" applyNumberFormat="1" applyFont="1" applyFill="1" applyBorder="1" applyAlignment="1" applyProtection="1">
      <alignment horizontal="center" vertical="center"/>
    </xf>
    <xf numFmtId="165" fontId="79" fillId="8" borderId="136" xfId="0" applyNumberFormat="1" applyFont="1" applyFill="1" applyBorder="1" applyAlignment="1" applyProtection="1">
      <alignment horizontal="center" vertical="center"/>
    </xf>
    <xf numFmtId="165" fontId="79" fillId="8" borderId="118" xfId="0" applyNumberFormat="1" applyFont="1" applyFill="1" applyBorder="1" applyAlignment="1" applyProtection="1">
      <alignment horizontal="center" vertical="center"/>
    </xf>
    <xf numFmtId="1" fontId="78" fillId="8" borderId="136" xfId="0" applyNumberFormat="1" applyFont="1" applyFill="1" applyBorder="1" applyAlignment="1" applyProtection="1">
      <alignment horizontal="center" vertical="center" wrapText="1"/>
    </xf>
    <xf numFmtId="1" fontId="78" fillId="8" borderId="118" xfId="0" applyNumberFormat="1" applyFont="1" applyFill="1" applyBorder="1" applyAlignment="1" applyProtection="1">
      <alignment horizontal="center" vertical="center" wrapText="1"/>
    </xf>
    <xf numFmtId="1" fontId="78" fillId="8" borderId="119" xfId="0" applyNumberFormat="1" applyFont="1" applyFill="1" applyBorder="1" applyAlignment="1" applyProtection="1">
      <alignment horizontal="center" vertical="center" wrapText="1"/>
    </xf>
    <xf numFmtId="165" fontId="3" fillId="0" borderId="231" xfId="0" quotePrefix="1" applyNumberFormat="1" applyFont="1" applyBorder="1" applyAlignment="1" applyProtection="1">
      <alignment horizontal="center" vertical="top" textRotation="90" wrapText="1"/>
    </xf>
    <xf numFmtId="165" fontId="3" fillId="0" borderId="234" xfId="0" quotePrefix="1" applyNumberFormat="1" applyFont="1" applyBorder="1" applyAlignment="1" applyProtection="1">
      <alignment horizontal="center" vertical="top" textRotation="90" wrapText="1"/>
    </xf>
    <xf numFmtId="0" fontId="34" fillId="0" borderId="38"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39" xfId="0" applyFont="1" applyBorder="1" applyAlignment="1">
      <alignment horizontal="center" vertical="center" wrapText="1"/>
    </xf>
    <xf numFmtId="165" fontId="43" fillId="0" borderId="240" xfId="0" applyNumberFormat="1" applyFont="1" applyBorder="1" applyAlignment="1">
      <alignment horizontal="center" vertical="center" wrapText="1"/>
    </xf>
    <xf numFmtId="165" fontId="43" fillId="0" borderId="206" xfId="0" applyNumberFormat="1" applyFont="1" applyBorder="1" applyAlignment="1">
      <alignment horizontal="center" vertical="center" wrapText="1"/>
    </xf>
    <xf numFmtId="165" fontId="43" fillId="0" borderId="241" xfId="0" applyNumberFormat="1" applyFont="1" applyBorder="1" applyAlignment="1">
      <alignment horizontal="center" vertical="center" wrapText="1"/>
    </xf>
    <xf numFmtId="165" fontId="43" fillId="0" borderId="30" xfId="0" applyNumberFormat="1" applyFont="1" applyBorder="1" applyAlignment="1">
      <alignment horizontal="center" vertical="center" wrapText="1"/>
    </xf>
    <xf numFmtId="165" fontId="43" fillId="0" borderId="0" xfId="0" applyNumberFormat="1" applyFont="1" applyBorder="1" applyAlignment="1">
      <alignment horizontal="center" vertical="center" wrapText="1"/>
    </xf>
    <xf numFmtId="165" fontId="43" fillId="0" borderId="24" xfId="0" applyNumberFormat="1" applyFont="1" applyBorder="1" applyAlignment="1">
      <alignment horizontal="center" vertical="center" wrapText="1"/>
    </xf>
    <xf numFmtId="165" fontId="43" fillId="0" borderId="32" xfId="0" applyNumberFormat="1" applyFont="1" applyBorder="1" applyAlignment="1">
      <alignment horizontal="center" vertical="center" wrapText="1"/>
    </xf>
    <xf numFmtId="165" fontId="43" fillId="0" borderId="50" xfId="0" applyNumberFormat="1" applyFont="1" applyBorder="1" applyAlignment="1">
      <alignment horizontal="center" vertical="center" wrapText="1"/>
    </xf>
    <xf numFmtId="165" fontId="43" fillId="0" borderId="242" xfId="0" applyNumberFormat="1" applyFont="1" applyBorder="1" applyAlignment="1">
      <alignment horizontal="center" vertical="center" wrapText="1"/>
    </xf>
    <xf numFmtId="165" fontId="41" fillId="0" borderId="240" xfId="0" applyNumberFormat="1" applyFont="1" applyBorder="1" applyAlignment="1" applyProtection="1">
      <alignment horizontal="center" vertical="center" wrapText="1"/>
    </xf>
    <xf numFmtId="165" fontId="41" fillId="0" borderId="206" xfId="0" applyNumberFormat="1" applyFont="1" applyBorder="1" applyAlignment="1" applyProtection="1">
      <alignment horizontal="center" vertical="center" wrapText="1"/>
    </xf>
    <xf numFmtId="165" fontId="41" fillId="0" borderId="241" xfId="0" applyNumberFormat="1" applyFont="1" applyBorder="1" applyAlignment="1" applyProtection="1">
      <alignment horizontal="center" vertical="center" wrapText="1"/>
    </xf>
    <xf numFmtId="165" fontId="41" fillId="0" borderId="30" xfId="0" applyNumberFormat="1" applyFont="1" applyBorder="1" applyAlignment="1" applyProtection="1">
      <alignment horizontal="center" vertical="center" wrapText="1"/>
    </xf>
    <xf numFmtId="165" fontId="41" fillId="0" borderId="0" xfId="0" applyNumberFormat="1" applyFont="1" applyBorder="1" applyAlignment="1" applyProtection="1">
      <alignment horizontal="center" vertical="center" wrapText="1"/>
    </xf>
    <xf numFmtId="165" fontId="41" fillId="0" borderId="24" xfId="0" applyNumberFormat="1" applyFont="1" applyBorder="1" applyAlignment="1" applyProtection="1">
      <alignment horizontal="center" vertical="center" wrapText="1"/>
    </xf>
    <xf numFmtId="165" fontId="41" fillId="0" borderId="32" xfId="0" applyNumberFormat="1" applyFont="1" applyBorder="1" applyAlignment="1" applyProtection="1">
      <alignment horizontal="center" vertical="center" wrapText="1"/>
    </xf>
    <xf numFmtId="165" fontId="41" fillId="0" borderId="50" xfId="0" applyNumberFormat="1" applyFont="1" applyBorder="1" applyAlignment="1" applyProtection="1">
      <alignment horizontal="center" vertical="center" wrapText="1"/>
    </xf>
    <xf numFmtId="165" fontId="41" fillId="0" borderId="242" xfId="0" applyNumberFormat="1" applyFont="1" applyBorder="1" applyAlignment="1" applyProtection="1">
      <alignment horizontal="center" vertical="center" wrapText="1"/>
    </xf>
    <xf numFmtId="165" fontId="34" fillId="0" borderId="40" xfId="0" applyNumberFormat="1" applyFont="1" applyBorder="1" applyAlignment="1">
      <alignment horizontal="center" vertical="center" wrapText="1"/>
    </xf>
    <xf numFmtId="165" fontId="34" fillId="0" borderId="37" xfId="0" applyNumberFormat="1" applyFont="1" applyBorder="1" applyAlignment="1">
      <alignment horizontal="center" vertical="center" wrapText="1"/>
    </xf>
    <xf numFmtId="165" fontId="34" fillId="0" borderId="41" xfId="0" applyNumberFormat="1" applyFont="1" applyBorder="1" applyAlignment="1">
      <alignment horizontal="center" vertical="center" wrapText="1"/>
    </xf>
    <xf numFmtId="165" fontId="34" fillId="0" borderId="30" xfId="0" applyNumberFormat="1" applyFont="1" applyBorder="1" applyAlignment="1">
      <alignment horizontal="center" vertical="center" wrapText="1"/>
    </xf>
    <xf numFmtId="165" fontId="34" fillId="0" borderId="0" xfId="0" applyNumberFormat="1" applyFont="1" applyBorder="1" applyAlignment="1">
      <alignment horizontal="center" vertical="center" wrapText="1"/>
    </xf>
    <xf numFmtId="165" fontId="34" fillId="0" borderId="24" xfId="0" applyNumberFormat="1" applyFont="1" applyBorder="1" applyAlignment="1">
      <alignment horizontal="center" vertical="center" wrapText="1"/>
    </xf>
    <xf numFmtId="165" fontId="34" fillId="0" borderId="32" xfId="0" applyNumberFormat="1" applyFont="1" applyBorder="1" applyAlignment="1">
      <alignment horizontal="center" vertical="center" wrapText="1"/>
    </xf>
    <xf numFmtId="165" fontId="34" fillId="0" borderId="50" xfId="0" applyNumberFormat="1" applyFont="1" applyBorder="1" applyAlignment="1">
      <alignment horizontal="center" vertical="center" wrapText="1"/>
    </xf>
    <xf numFmtId="165" fontId="34" fillId="0" borderId="42" xfId="0" applyNumberFormat="1" applyFont="1" applyBorder="1" applyAlignment="1">
      <alignment horizontal="center" vertical="center" wrapText="1"/>
    </xf>
    <xf numFmtId="1" fontId="3" fillId="0" borderId="146" xfId="0" applyNumberFormat="1" applyFont="1" applyBorder="1" applyAlignment="1" applyProtection="1">
      <alignment horizontal="center"/>
    </xf>
    <xf numFmtId="1" fontId="3" fillId="0" borderId="147" xfId="0" applyNumberFormat="1" applyFont="1" applyBorder="1" applyAlignment="1" applyProtection="1">
      <alignment horizontal="center"/>
    </xf>
    <xf numFmtId="1" fontId="3" fillId="0" borderId="148" xfId="0" applyNumberFormat="1" applyFont="1" applyBorder="1" applyAlignment="1" applyProtection="1">
      <alignment horizontal="center"/>
    </xf>
    <xf numFmtId="165" fontId="3" fillId="0" borderId="84" xfId="0" applyNumberFormat="1" applyFont="1" applyBorder="1" applyAlignment="1" applyProtection="1">
      <alignment horizontal="center" vertical="center"/>
    </xf>
    <xf numFmtId="165" fontId="3" fillId="0" borderId="48" xfId="0" applyNumberFormat="1" applyFont="1" applyBorder="1" applyAlignment="1" applyProtection="1">
      <alignment horizontal="center" vertical="center"/>
    </xf>
    <xf numFmtId="165" fontId="3" fillId="0" borderId="52" xfId="0" applyNumberFormat="1" applyFont="1" applyBorder="1" applyAlignment="1" applyProtection="1">
      <alignment horizontal="center" vertical="center"/>
    </xf>
    <xf numFmtId="165" fontId="3" fillId="0" borderId="84" xfId="0" applyNumberFormat="1" applyFont="1" applyBorder="1" applyAlignment="1" applyProtection="1">
      <alignment horizontal="center" vertical="top"/>
    </xf>
    <xf numFmtId="165" fontId="3" fillId="0" borderId="48" xfId="0" applyNumberFormat="1" applyFont="1" applyBorder="1" applyAlignment="1" applyProtection="1">
      <alignment horizontal="center" vertical="top"/>
    </xf>
    <xf numFmtId="165" fontId="3" fillId="0" borderId="52" xfId="0" applyNumberFormat="1" applyFont="1" applyBorder="1" applyAlignment="1" applyProtection="1">
      <alignment horizontal="center" vertical="top"/>
    </xf>
    <xf numFmtId="165" fontId="14" fillId="0" borderId="235" xfId="0" applyNumberFormat="1" applyFont="1" applyBorder="1" applyAlignment="1" applyProtection="1">
      <alignment horizontal="center" vertical="center" textRotation="90" wrapText="1"/>
    </xf>
    <xf numFmtId="165" fontId="3" fillId="0" borderId="51" xfId="0" applyNumberFormat="1" applyFont="1" applyBorder="1" applyAlignment="1" applyProtection="1">
      <alignment horizontal="left" vertical="top" wrapText="1" indent="1"/>
    </xf>
    <xf numFmtId="165" fontId="3" fillId="0" borderId="50" xfId="0" applyNumberFormat="1" applyFont="1" applyBorder="1" applyAlignment="1" applyProtection="1">
      <alignment horizontal="left" vertical="top" wrapText="1" indent="1"/>
    </xf>
    <xf numFmtId="165" fontId="3" fillId="0" borderId="0" xfId="0" applyNumberFormat="1" applyFont="1" applyBorder="1" applyAlignment="1" applyProtection="1">
      <alignment horizontal="center" vertical="center"/>
    </xf>
    <xf numFmtId="165" fontId="3" fillId="0" borderId="8" xfId="0" applyNumberFormat="1" applyFont="1" applyBorder="1" applyAlignment="1" applyProtection="1">
      <alignment horizontal="center" vertical="center"/>
    </xf>
    <xf numFmtId="165" fontId="3" fillId="0" borderId="50" xfId="0" applyNumberFormat="1" applyFont="1" applyBorder="1" applyAlignment="1" applyProtection="1">
      <alignment horizontal="center" vertical="center"/>
    </xf>
    <xf numFmtId="165" fontId="78" fillId="8" borderId="136" xfId="0" applyNumberFormat="1" applyFont="1" applyFill="1" applyBorder="1" applyAlignment="1" applyProtection="1">
      <alignment horizontal="center" vertical="top" wrapText="1"/>
    </xf>
    <xf numFmtId="165" fontId="78" fillId="8" borderId="118" xfId="0" applyNumberFormat="1" applyFont="1" applyFill="1" applyBorder="1" applyAlignment="1" applyProtection="1">
      <alignment horizontal="center" vertical="top" wrapText="1"/>
    </xf>
    <xf numFmtId="165" fontId="78" fillId="8" borderId="119" xfId="0" applyNumberFormat="1" applyFont="1" applyFill="1" applyBorder="1" applyAlignment="1" applyProtection="1">
      <alignment horizontal="center" vertical="top" wrapText="1"/>
    </xf>
    <xf numFmtId="165" fontId="77" fillId="8" borderId="85" xfId="0" applyNumberFormat="1" applyFont="1" applyFill="1" applyBorder="1" applyAlignment="1" applyProtection="1">
      <alignment horizontal="center" vertical="top"/>
    </xf>
    <xf numFmtId="165" fontId="78" fillId="8" borderId="136" xfId="0" applyNumberFormat="1" applyFont="1" applyFill="1" applyBorder="1" applyAlignment="1" applyProtection="1">
      <alignment horizontal="center"/>
    </xf>
    <xf numFmtId="165" fontId="78" fillId="8" borderId="137" xfId="0" applyNumberFormat="1" applyFont="1" applyFill="1" applyBorder="1" applyAlignment="1" applyProtection="1">
      <alignment horizontal="center"/>
    </xf>
    <xf numFmtId="165" fontId="78" fillId="8" borderId="142" xfId="0" applyNumberFormat="1" applyFont="1" applyFill="1" applyBorder="1" applyAlignment="1" applyProtection="1">
      <alignment horizontal="center" vertical="center" wrapText="1"/>
    </xf>
    <xf numFmtId="165" fontId="78" fillId="8" borderId="143" xfId="0" applyNumberFormat="1" applyFont="1" applyFill="1" applyBorder="1" applyAlignment="1" applyProtection="1">
      <alignment horizontal="center" vertical="center" wrapText="1"/>
    </xf>
    <xf numFmtId="165" fontId="78" fillId="8" borderId="144" xfId="0" applyNumberFormat="1" applyFont="1" applyFill="1" applyBorder="1" applyAlignment="1" applyProtection="1">
      <alignment horizontal="center" vertical="center" wrapText="1"/>
    </xf>
    <xf numFmtId="165" fontId="3" fillId="0" borderId="84" xfId="0" applyNumberFormat="1" applyFont="1" applyBorder="1" applyAlignment="1" applyProtection="1">
      <alignment horizontal="left"/>
    </xf>
    <xf numFmtId="165" fontId="3" fillId="0" borderId="48" xfId="0" applyNumberFormat="1" applyFont="1" applyBorder="1" applyAlignment="1" applyProtection="1">
      <alignment horizontal="left"/>
    </xf>
    <xf numFmtId="165" fontId="3" fillId="0" borderId="52" xfId="0" applyNumberFormat="1" applyFont="1" applyBorder="1" applyAlignment="1" applyProtection="1">
      <alignment horizontal="left"/>
    </xf>
    <xf numFmtId="165" fontId="78" fillId="8" borderId="167" xfId="0" applyNumberFormat="1" applyFont="1" applyFill="1" applyBorder="1" applyAlignment="1" applyProtection="1">
      <alignment horizontal="center"/>
    </xf>
    <xf numFmtId="165" fontId="78" fillId="8" borderId="168" xfId="0" applyNumberFormat="1" applyFont="1" applyFill="1" applyBorder="1" applyAlignment="1" applyProtection="1">
      <alignment horizontal="center"/>
    </xf>
    <xf numFmtId="165" fontId="3" fillId="0" borderId="183" xfId="0" applyNumberFormat="1" applyFont="1" applyBorder="1" applyAlignment="1" applyProtection="1">
      <alignment horizontal="center"/>
    </xf>
    <xf numFmtId="165" fontId="3" fillId="0" borderId="184" xfId="0" applyNumberFormat="1" applyFont="1" applyBorder="1" applyAlignment="1" applyProtection="1">
      <alignment horizontal="center"/>
    </xf>
    <xf numFmtId="165" fontId="3" fillId="0" borderId="185" xfId="0" applyNumberFormat="1" applyFont="1" applyBorder="1" applyAlignment="1" applyProtection="1">
      <alignment horizontal="center"/>
    </xf>
    <xf numFmtId="165" fontId="3" fillId="0" borderId="84" xfId="0" applyNumberFormat="1" applyFont="1" applyBorder="1" applyAlignment="1" applyProtection="1">
      <alignment horizontal="center"/>
    </xf>
    <xf numFmtId="165" fontId="3" fillId="0" borderId="48" xfId="0" applyNumberFormat="1" applyFont="1" applyBorder="1" applyAlignment="1" applyProtection="1">
      <alignment horizontal="center"/>
    </xf>
    <xf numFmtId="165" fontId="3" fillId="0" borderId="52" xfId="0" applyNumberFormat="1" applyFont="1" applyBorder="1" applyAlignment="1" applyProtection="1">
      <alignment horizontal="center"/>
    </xf>
    <xf numFmtId="1" fontId="3" fillId="0" borderId="84" xfId="0" applyNumberFormat="1" applyFont="1" applyBorder="1" applyAlignment="1" applyProtection="1">
      <alignment horizontal="center"/>
    </xf>
    <xf numFmtId="1" fontId="3" fillId="0" borderId="48" xfId="0" applyNumberFormat="1" applyFont="1" applyBorder="1" applyAlignment="1" applyProtection="1">
      <alignment horizontal="center"/>
    </xf>
    <xf numFmtId="1" fontId="3" fillId="0" borderId="52" xfId="0" applyNumberFormat="1" applyFont="1" applyBorder="1" applyAlignment="1" applyProtection="1">
      <alignment horizontal="center"/>
    </xf>
    <xf numFmtId="165" fontId="9" fillId="0" borderId="146" xfId="0" applyNumberFormat="1" applyFont="1" applyBorder="1" applyAlignment="1" applyProtection="1">
      <alignment horizontal="center"/>
    </xf>
    <xf numFmtId="165" fontId="9" fillId="0" borderId="147" xfId="0" applyNumberFormat="1" applyFont="1" applyBorder="1" applyAlignment="1" applyProtection="1">
      <alignment horizontal="center"/>
    </xf>
    <xf numFmtId="165" fontId="9" fillId="0" borderId="148" xfId="0" applyNumberFormat="1" applyFont="1" applyBorder="1" applyAlignment="1" applyProtection="1">
      <alignment horizontal="center"/>
    </xf>
    <xf numFmtId="0" fontId="14" fillId="0" borderId="93" xfId="0" applyFont="1" applyBorder="1" applyAlignment="1">
      <alignment horizontal="right" vertical="top"/>
    </xf>
    <xf numFmtId="0" fontId="14" fillId="0" borderId="96" xfId="0" applyFont="1" applyBorder="1" applyAlignment="1">
      <alignment horizontal="right" vertical="top"/>
    </xf>
    <xf numFmtId="165" fontId="14" fillId="0" borderId="139" xfId="0" applyNumberFormat="1" applyFont="1" applyBorder="1" applyAlignment="1" applyProtection="1">
      <alignment horizontal="left"/>
    </xf>
    <xf numFmtId="165" fontId="14" fillId="0" borderId="140" xfId="0" applyNumberFormat="1" applyFont="1" applyBorder="1" applyAlignment="1" applyProtection="1">
      <alignment horizontal="left"/>
    </xf>
    <xf numFmtId="165" fontId="14" fillId="0" borderId="141" xfId="0" applyNumberFormat="1" applyFont="1" applyBorder="1" applyAlignment="1" applyProtection="1">
      <alignment horizontal="left"/>
    </xf>
    <xf numFmtId="165" fontId="3" fillId="0" borderId="225" xfId="0" applyNumberFormat="1" applyFont="1" applyBorder="1" applyAlignment="1" applyProtection="1">
      <alignment horizontal="center" vertical="top"/>
    </xf>
    <xf numFmtId="165" fontId="3" fillId="0" borderId="226" xfId="0" applyNumberFormat="1" applyFont="1" applyBorder="1" applyAlignment="1" applyProtection="1">
      <alignment horizontal="center" vertical="top"/>
    </xf>
    <xf numFmtId="165" fontId="3" fillId="0" borderId="227" xfId="0" applyNumberFormat="1" applyFont="1" applyBorder="1" applyAlignment="1" applyProtection="1">
      <alignment horizontal="center" vertical="top"/>
    </xf>
    <xf numFmtId="165" fontId="3" fillId="0" borderId="228" xfId="0" applyNumberFormat="1" applyFont="1" applyBorder="1" applyAlignment="1" applyProtection="1">
      <alignment horizontal="center" vertical="top"/>
    </xf>
    <xf numFmtId="165" fontId="3" fillId="0" borderId="50" xfId="0" applyNumberFormat="1" applyFont="1" applyBorder="1" applyAlignment="1" applyProtection="1">
      <alignment horizontal="center" vertical="top"/>
    </xf>
    <xf numFmtId="165" fontId="3" fillId="0" borderId="229" xfId="0" applyNumberFormat="1" applyFont="1" applyBorder="1" applyAlignment="1" applyProtection="1">
      <alignment horizontal="center" vertical="top"/>
    </xf>
    <xf numFmtId="1" fontId="3" fillId="0" borderId="173" xfId="0" applyNumberFormat="1" applyFont="1" applyBorder="1" applyAlignment="1" applyProtection="1">
      <alignment horizontal="center" vertical="center"/>
    </xf>
    <xf numFmtId="1" fontId="3" fillId="0" borderId="179" xfId="0" applyNumberFormat="1" applyFont="1" applyBorder="1" applyAlignment="1" applyProtection="1">
      <alignment horizontal="center" vertical="center"/>
    </xf>
    <xf numFmtId="1" fontId="3" fillId="0" borderId="0" xfId="0" applyNumberFormat="1" applyFont="1" applyBorder="1" applyAlignment="1" applyProtection="1">
      <alignment horizontal="center" vertical="center"/>
    </xf>
    <xf numFmtId="1" fontId="3" fillId="0" borderId="174" xfId="0" applyNumberFormat="1" applyFont="1" applyBorder="1" applyAlignment="1" applyProtection="1">
      <alignment horizontal="center" vertical="center"/>
    </xf>
    <xf numFmtId="165" fontId="14" fillId="0" borderId="110" xfId="0" applyNumberFormat="1" applyFont="1" applyBorder="1" applyAlignment="1" applyProtection="1">
      <alignment horizontal="left"/>
    </xf>
    <xf numFmtId="165" fontId="14" fillId="0" borderId="46" xfId="0" applyNumberFormat="1" applyFont="1" applyBorder="1" applyAlignment="1" applyProtection="1">
      <alignment horizontal="left"/>
    </xf>
    <xf numFmtId="0" fontId="78" fillId="8" borderId="136" xfId="0" applyFont="1" applyFill="1" applyBorder="1" applyAlignment="1">
      <alignment horizontal="center" vertical="center"/>
    </xf>
    <xf numFmtId="0" fontId="78" fillId="8" borderId="118" xfId="0" applyFont="1" applyFill="1" applyBorder="1" applyAlignment="1">
      <alignment horizontal="center" vertical="center"/>
    </xf>
    <xf numFmtId="0" fontId="78" fillId="8" borderId="119" xfId="0" applyFont="1" applyFill="1" applyBorder="1" applyAlignment="1">
      <alignment horizontal="center" vertical="center"/>
    </xf>
    <xf numFmtId="165" fontId="3" fillId="0" borderId="139" xfId="0" applyNumberFormat="1" applyFont="1" applyBorder="1" applyAlignment="1" applyProtection="1">
      <alignment horizontal="left"/>
    </xf>
    <xf numFmtId="165" fontId="3" fillId="0" borderId="140" xfId="0" applyNumberFormat="1" applyFont="1" applyBorder="1" applyAlignment="1" applyProtection="1">
      <alignment horizontal="left"/>
    </xf>
    <xf numFmtId="165" fontId="3" fillId="0" borderId="141" xfId="0" applyNumberFormat="1" applyFont="1" applyBorder="1" applyAlignment="1" applyProtection="1">
      <alignment horizontal="left"/>
    </xf>
    <xf numFmtId="165" fontId="47" fillId="0" borderId="84" xfId="0" applyNumberFormat="1" applyFont="1" applyBorder="1" applyAlignment="1" applyProtection="1">
      <alignment horizontal="left" vertical="center"/>
    </xf>
    <xf numFmtId="165" fontId="47" fillId="0" borderId="48" xfId="0" applyNumberFormat="1" applyFont="1" applyBorder="1" applyAlignment="1" applyProtection="1">
      <alignment horizontal="left" vertical="center"/>
    </xf>
    <xf numFmtId="165" fontId="47" fillId="0" borderId="52" xfId="0" applyNumberFormat="1" applyFont="1" applyBorder="1" applyAlignment="1" applyProtection="1">
      <alignment horizontal="left" vertical="center"/>
    </xf>
    <xf numFmtId="165" fontId="47" fillId="0" borderId="84" xfId="0" applyNumberFormat="1" applyFont="1" applyBorder="1" applyAlignment="1" applyProtection="1">
      <alignment horizontal="left"/>
    </xf>
    <xf numFmtId="165" fontId="47" fillId="0" borderId="48" xfId="0" applyNumberFormat="1" applyFont="1" applyBorder="1" applyAlignment="1" applyProtection="1">
      <alignment horizontal="left"/>
    </xf>
    <xf numFmtId="165" fontId="47" fillId="0" borderId="52" xfId="0" applyNumberFormat="1" applyFont="1" applyBorder="1" applyAlignment="1" applyProtection="1">
      <alignment horizontal="left"/>
    </xf>
    <xf numFmtId="1" fontId="3" fillId="0" borderId="84" xfId="0" applyNumberFormat="1" applyFont="1" applyBorder="1" applyAlignment="1" applyProtection="1">
      <alignment horizontal="left"/>
    </xf>
    <xf numFmtId="1" fontId="3" fillId="0" borderId="48" xfId="0" applyNumberFormat="1" applyFont="1" applyBorder="1" applyAlignment="1" applyProtection="1">
      <alignment horizontal="left"/>
    </xf>
    <xf numFmtId="1" fontId="3" fillId="0" borderId="52" xfId="0" applyNumberFormat="1" applyFont="1" applyBorder="1" applyAlignment="1" applyProtection="1">
      <alignment horizontal="left"/>
    </xf>
    <xf numFmtId="165" fontId="18" fillId="0" borderId="124" xfId="0" applyNumberFormat="1" applyFont="1" applyBorder="1" applyAlignment="1" applyProtection="1">
      <alignment horizontal="left" vertical="top" wrapText="1"/>
    </xf>
    <xf numFmtId="165" fontId="18" fillId="0" borderId="196" xfId="0" applyNumberFormat="1" applyFont="1" applyBorder="1" applyAlignment="1" applyProtection="1">
      <alignment horizontal="left" vertical="top" wrapText="1"/>
    </xf>
    <xf numFmtId="165" fontId="18" fillId="0" borderId="124" xfId="0" applyNumberFormat="1" applyFont="1" applyBorder="1" applyAlignment="1" applyProtection="1">
      <alignment horizontal="left" vertical="top"/>
    </xf>
    <xf numFmtId="165" fontId="18" fillId="0" borderId="196" xfId="0" applyNumberFormat="1" applyFont="1" applyBorder="1" applyAlignment="1" applyProtection="1">
      <alignment horizontal="left" vertical="top"/>
    </xf>
    <xf numFmtId="0" fontId="13" fillId="0" borderId="202" xfId="0" applyFont="1" applyBorder="1" applyAlignment="1">
      <alignment horizontal="left" vertical="top" wrapText="1"/>
    </xf>
    <xf numFmtId="0" fontId="13" fillId="0" borderId="203" xfId="0" applyFont="1" applyBorder="1" applyAlignment="1">
      <alignment horizontal="left" vertical="top" wrapText="1"/>
    </xf>
    <xf numFmtId="165" fontId="18" fillId="0" borderId="125" xfId="0" applyNumberFormat="1" applyFont="1" applyBorder="1" applyAlignment="1" applyProtection="1">
      <alignment horizontal="left" vertical="top" wrapText="1"/>
    </xf>
    <xf numFmtId="165" fontId="18" fillId="0" borderId="125" xfId="0" applyNumberFormat="1" applyFont="1" applyBorder="1" applyAlignment="1" applyProtection="1">
      <alignment horizontal="left" vertical="top"/>
    </xf>
    <xf numFmtId="165" fontId="18" fillId="0" borderId="202" xfId="0" applyNumberFormat="1" applyFont="1" applyBorder="1" applyAlignment="1" applyProtection="1">
      <alignment horizontal="left" vertical="top" wrapText="1"/>
    </xf>
    <xf numFmtId="165" fontId="18" fillId="0" borderId="205" xfId="0" applyNumberFormat="1" applyFont="1" applyBorder="1" applyAlignment="1" applyProtection="1">
      <alignment horizontal="left" vertical="top" wrapText="1"/>
    </xf>
    <xf numFmtId="1" fontId="14" fillId="0" borderId="44" xfId="0" applyNumberFormat="1" applyFont="1" applyBorder="1" applyAlignment="1" applyProtection="1">
      <alignment horizontal="center" vertical="top"/>
    </xf>
    <xf numFmtId="1" fontId="3" fillId="0" borderId="182" xfId="0" applyNumberFormat="1" applyFont="1" applyBorder="1" applyAlignment="1" applyProtection="1">
      <alignment horizontal="right"/>
    </xf>
    <xf numFmtId="165" fontId="77" fillId="8" borderId="167" xfId="0" applyNumberFormat="1" applyFont="1" applyFill="1" applyBorder="1" applyAlignment="1" applyProtection="1">
      <alignment horizontal="center" vertical="top"/>
    </xf>
    <xf numFmtId="165" fontId="77" fillId="8" borderId="168" xfId="0" applyNumberFormat="1" applyFont="1" applyFill="1" applyBorder="1" applyAlignment="1" applyProtection="1">
      <alignment horizontal="center" vertical="top"/>
    </xf>
    <xf numFmtId="165" fontId="3" fillId="0" borderId="243" xfId="0" applyNumberFormat="1" applyFont="1" applyBorder="1" applyAlignment="1" applyProtection="1">
      <alignment horizontal="left" vertical="top"/>
    </xf>
    <xf numFmtId="165" fontId="3" fillId="0" borderId="244" xfId="0" applyNumberFormat="1" applyFont="1" applyBorder="1" applyAlignment="1" applyProtection="1">
      <alignment horizontal="center"/>
    </xf>
    <xf numFmtId="165" fontId="3" fillId="0" borderId="245" xfId="0" applyNumberFormat="1" applyFont="1" applyBorder="1" applyAlignment="1" applyProtection="1">
      <alignment vertical="top"/>
    </xf>
    <xf numFmtId="165" fontId="18" fillId="0" borderId="246" xfId="0" applyNumberFormat="1" applyFont="1" applyBorder="1" applyAlignment="1" applyProtection="1">
      <alignment horizontal="center"/>
    </xf>
    <xf numFmtId="165" fontId="14" fillId="0" borderId="247" xfId="0" applyNumberFormat="1" applyFont="1" applyBorder="1" applyAlignment="1" applyProtection="1">
      <alignment horizontal="center" vertical="center" shrinkToFit="1"/>
    </xf>
    <xf numFmtId="165" fontId="14" fillId="0" borderId="247" xfId="0" applyNumberFormat="1" applyFont="1" applyBorder="1" applyAlignment="1" applyProtection="1">
      <alignment vertical="center" shrinkToFit="1"/>
    </xf>
    <xf numFmtId="165" fontId="14" fillId="0" borderId="248" xfId="0" applyNumberFormat="1" applyFont="1" applyBorder="1" applyAlignment="1" applyProtection="1">
      <alignment horizontal="center" vertical="center" shrinkToFit="1"/>
    </xf>
    <xf numFmtId="3" fontId="16" fillId="0" borderId="0" xfId="0" applyNumberFormat="1" applyFont="1" applyBorder="1"/>
    <xf numFmtId="165" fontId="3" fillId="0" borderId="249" xfId="0" applyNumberFormat="1" applyFont="1" applyBorder="1" applyAlignment="1" applyProtection="1">
      <alignment horizontal="left" vertical="top"/>
    </xf>
    <xf numFmtId="3" fontId="16" fillId="0" borderId="11" xfId="0" applyNumberFormat="1" applyFont="1" applyBorder="1"/>
    <xf numFmtId="165" fontId="3" fillId="0" borderId="250" xfId="0" applyNumberFormat="1" applyFont="1" applyBorder="1" applyAlignment="1" applyProtection="1">
      <alignment horizontal="left" vertical="top"/>
    </xf>
    <xf numFmtId="165" fontId="3" fillId="0" borderId="251" xfId="0" applyNumberFormat="1" applyFont="1" applyBorder="1" applyProtection="1"/>
    <xf numFmtId="165" fontId="3" fillId="0" borderId="251" xfId="0" applyNumberFormat="1" applyFont="1" applyBorder="1" applyAlignment="1" applyProtection="1">
      <alignment vertical="top"/>
    </xf>
    <xf numFmtId="2" fontId="14" fillId="0" borderId="252" xfId="0" applyNumberFormat="1" applyFont="1" applyBorder="1" applyProtection="1"/>
    <xf numFmtId="3" fontId="14" fillId="0" borderId="252" xfId="0" applyNumberFormat="1" applyFont="1" applyBorder="1" applyAlignment="1" applyProtection="1">
      <alignment shrinkToFit="1"/>
    </xf>
    <xf numFmtId="3" fontId="16" fillId="0" borderId="253" xfId="0" applyNumberFormat="1" applyFont="1" applyBorder="1"/>
    <xf numFmtId="165" fontId="3" fillId="0" borderId="254" xfId="0" applyNumberFormat="1" applyFont="1" applyBorder="1" applyProtection="1"/>
    <xf numFmtId="165" fontId="6" fillId="0" borderId="254" xfId="0" applyNumberFormat="1" applyFont="1" applyBorder="1" applyProtection="1"/>
    <xf numFmtId="165" fontId="3" fillId="0" borderId="254" xfId="0" applyNumberFormat="1" applyFont="1" applyBorder="1" applyAlignment="1" applyProtection="1">
      <alignment vertical="top"/>
    </xf>
    <xf numFmtId="2" fontId="14" fillId="0" borderId="255" xfId="0" applyNumberFormat="1" applyFont="1" applyBorder="1" applyProtection="1"/>
    <xf numFmtId="3" fontId="14" fillId="0" borderId="255" xfId="0" applyNumberFormat="1" applyFont="1" applyBorder="1" applyAlignment="1" applyProtection="1">
      <alignment shrinkToFit="1"/>
    </xf>
    <xf numFmtId="3" fontId="14" fillId="0" borderId="256" xfId="0" applyNumberFormat="1" applyFont="1" applyBorder="1" applyAlignment="1" applyProtection="1">
      <alignment shrinkToFit="1"/>
    </xf>
    <xf numFmtId="165" fontId="3" fillId="0" borderId="254" xfId="0" applyNumberFormat="1" applyFont="1" applyBorder="1" applyAlignment="1" applyProtection="1">
      <alignment horizontal="center" vertical="center"/>
    </xf>
    <xf numFmtId="2" fontId="14" fillId="0" borderId="255" xfId="2" applyNumberFormat="1" applyFont="1" applyBorder="1" applyAlignment="1" applyProtection="1"/>
    <xf numFmtId="3" fontId="14" fillId="0" borderId="255" xfId="0" applyNumberFormat="1" applyFont="1" applyBorder="1" applyAlignment="1" applyProtection="1">
      <alignment shrinkToFit="1"/>
      <protection locked="0"/>
    </xf>
    <xf numFmtId="165" fontId="37" fillId="0" borderId="250" xfId="0" applyNumberFormat="1" applyFont="1" applyBorder="1" applyAlignment="1" applyProtection="1">
      <alignment horizontal="left" vertical="top"/>
    </xf>
    <xf numFmtId="165" fontId="6" fillId="0" borderId="251" xfId="0" applyNumberFormat="1" applyFont="1" applyBorder="1" applyProtection="1"/>
    <xf numFmtId="3" fontId="14" fillId="0" borderId="253" xfId="0" applyNumberFormat="1" applyFont="1" applyBorder="1" applyAlignment="1" applyProtection="1">
      <alignment shrinkToFit="1"/>
    </xf>
    <xf numFmtId="165" fontId="14" fillId="0" borderId="257" xfId="0" applyNumberFormat="1" applyFont="1" applyBorder="1" applyAlignment="1" applyProtection="1">
      <alignment horizontal="center"/>
    </xf>
    <xf numFmtId="165" fontId="14" fillId="0" borderId="258" xfId="0" applyNumberFormat="1" applyFont="1" applyBorder="1" applyAlignment="1" applyProtection="1">
      <alignment horizontal="center"/>
    </xf>
    <xf numFmtId="165" fontId="14" fillId="0" borderId="259" xfId="0" applyNumberFormat="1" applyFont="1" applyBorder="1" applyAlignment="1" applyProtection="1">
      <alignment horizontal="center"/>
    </xf>
    <xf numFmtId="3" fontId="13" fillId="0" borderId="260" xfId="0" applyNumberFormat="1" applyFont="1" applyBorder="1" applyAlignment="1">
      <alignment horizontal="center" vertical="center" shrinkToFit="1"/>
    </xf>
    <xf numFmtId="3" fontId="13" fillId="0" borderId="259" xfId="0" applyNumberFormat="1" applyFont="1" applyBorder="1" applyAlignment="1">
      <alignment horizontal="center" vertical="center" shrinkToFit="1"/>
    </xf>
    <xf numFmtId="165" fontId="3" fillId="0" borderId="261" xfId="0" applyNumberFormat="1" applyFont="1" applyBorder="1" applyAlignment="1" applyProtection="1">
      <alignment horizontal="left" vertical="top"/>
    </xf>
    <xf numFmtId="165" fontId="3" fillId="0" borderId="262" xfId="0" applyNumberFormat="1" applyFont="1" applyBorder="1" applyProtection="1"/>
    <xf numFmtId="0" fontId="19" fillId="0" borderId="262" xfId="0" applyFont="1" applyBorder="1"/>
    <xf numFmtId="165" fontId="3" fillId="0" borderId="262" xfId="0" applyNumberFormat="1" applyFont="1" applyBorder="1" applyAlignment="1" applyProtection="1">
      <alignment shrinkToFit="1"/>
    </xf>
    <xf numFmtId="165" fontId="14" fillId="0" borderId="262" xfId="0" applyNumberFormat="1" applyFont="1" applyBorder="1" applyAlignment="1" applyProtection="1">
      <alignment horizontal="right" vertical="center" shrinkToFit="1"/>
    </xf>
    <xf numFmtId="3" fontId="14" fillId="0" borderId="262" xfId="0" applyNumberFormat="1" applyFont="1" applyBorder="1" applyAlignment="1" applyProtection="1">
      <alignment horizontal="right" vertical="center"/>
    </xf>
    <xf numFmtId="3" fontId="14" fillId="0" borderId="262" xfId="0" applyNumberFormat="1" applyFont="1" applyBorder="1" applyAlignment="1" applyProtection="1">
      <alignment horizontal="right" vertical="center" shrinkToFit="1"/>
    </xf>
    <xf numFmtId="3" fontId="14" fillId="0" borderId="263" xfId="0" applyNumberFormat="1" applyFont="1" applyBorder="1" applyAlignment="1" applyProtection="1">
      <alignment horizontal="right" vertical="center" shrinkToFit="1"/>
    </xf>
    <xf numFmtId="165" fontId="18" fillId="0" borderId="262" xfId="0" applyNumberFormat="1" applyFont="1" applyBorder="1" applyProtection="1"/>
    <xf numFmtId="165" fontId="77" fillId="8" borderId="167" xfId="0" applyNumberFormat="1" applyFont="1" applyFill="1" applyBorder="1" applyAlignment="1" applyProtection="1">
      <alignment horizontal="center" vertical="center"/>
    </xf>
    <xf numFmtId="165" fontId="77" fillId="8" borderId="168" xfId="0" applyNumberFormat="1" applyFont="1" applyFill="1" applyBorder="1" applyAlignment="1" applyProtection="1">
      <alignment horizontal="center" vertical="center"/>
    </xf>
    <xf numFmtId="165" fontId="3" fillId="0" borderId="264" xfId="0" applyNumberFormat="1" applyFont="1" applyBorder="1" applyAlignment="1" applyProtection="1">
      <alignment horizontal="left" vertical="top" wrapText="1" indent="1"/>
    </xf>
    <xf numFmtId="165" fontId="3" fillId="0" borderId="226" xfId="0" applyNumberFormat="1" applyFont="1" applyBorder="1" applyAlignment="1" applyProtection="1">
      <alignment horizontal="left" vertical="top" wrapText="1" indent="1"/>
    </xf>
    <xf numFmtId="165" fontId="3" fillId="0" borderId="265" xfId="0" applyNumberFormat="1" applyFont="1" applyBorder="1" applyAlignment="1" applyProtection="1">
      <alignment horizontal="left" vertical="top" wrapText="1" indent="1"/>
    </xf>
    <xf numFmtId="165" fontId="3" fillId="0" borderId="266" xfId="0" applyNumberFormat="1" applyFont="1" applyBorder="1" applyAlignment="1" applyProtection="1">
      <alignment horizontal="center" vertical="center"/>
    </xf>
    <xf numFmtId="165" fontId="3" fillId="0" borderId="267" xfId="0" applyNumberFormat="1" applyFont="1" applyBorder="1" applyAlignment="1" applyProtection="1">
      <alignment horizontal="left" vertical="top" wrapText="1" indent="1"/>
    </xf>
    <xf numFmtId="165" fontId="3" fillId="0" borderId="268" xfId="0" applyNumberFormat="1" applyFont="1" applyBorder="1" applyAlignment="1" applyProtection="1">
      <alignment horizontal="left" vertical="top" wrapText="1" indent="1"/>
    </xf>
    <xf numFmtId="165" fontId="6" fillId="0" borderId="225" xfId="0" applyNumberFormat="1" applyFont="1" applyBorder="1" applyAlignment="1" applyProtection="1">
      <alignment horizontal="left" vertical="top"/>
    </xf>
    <xf numFmtId="165" fontId="3" fillId="0" borderId="226" xfId="0" applyNumberFormat="1" applyFont="1" applyBorder="1" applyProtection="1"/>
    <xf numFmtId="0" fontId="0" fillId="0" borderId="226" xfId="0" applyBorder="1"/>
    <xf numFmtId="165" fontId="6" fillId="0" borderId="226" xfId="0" applyNumberFormat="1" applyFont="1" applyBorder="1" applyProtection="1"/>
    <xf numFmtId="165" fontId="3" fillId="0" borderId="226" xfId="0" applyNumberFormat="1" applyFont="1" applyBorder="1" applyAlignment="1" applyProtection="1">
      <alignment horizontal="right"/>
    </xf>
    <xf numFmtId="165" fontId="6" fillId="0" borderId="264" xfId="0" applyNumberFormat="1" applyFont="1" applyBorder="1" applyAlignment="1" applyProtection="1">
      <alignment horizontal="left" vertical="top" wrapText="1" indent="1"/>
    </xf>
    <xf numFmtId="165" fontId="6" fillId="0" borderId="226" xfId="0" applyNumberFormat="1" applyFont="1" applyBorder="1" applyAlignment="1" applyProtection="1">
      <alignment horizontal="left" vertical="top" wrapText="1" indent="1"/>
    </xf>
    <xf numFmtId="165" fontId="6" fillId="0" borderId="265" xfId="0" applyNumberFormat="1" applyFont="1" applyBorder="1" applyAlignment="1" applyProtection="1">
      <alignment horizontal="left" vertical="top" wrapText="1" indent="1"/>
    </xf>
    <xf numFmtId="165" fontId="6" fillId="0" borderId="212" xfId="0" applyNumberFormat="1" applyFont="1" applyBorder="1" applyAlignment="1" applyProtection="1">
      <alignment horizontal="left" vertical="top"/>
    </xf>
    <xf numFmtId="0" fontId="0" fillId="0" borderId="267" xfId="0" applyBorder="1" applyAlignment="1">
      <alignment horizontal="left" vertical="top" wrapText="1" indent="1"/>
    </xf>
    <xf numFmtId="0" fontId="0" fillId="0" borderId="268" xfId="0" applyBorder="1" applyAlignment="1">
      <alignment horizontal="justify" vertical="top" wrapText="1" shrinkToFit="1"/>
    </xf>
    <xf numFmtId="165" fontId="3" fillId="0" borderId="225" xfId="0" applyNumberFormat="1" applyFont="1" applyBorder="1" applyAlignment="1" applyProtection="1">
      <alignment horizontal="left" vertical="top"/>
    </xf>
    <xf numFmtId="165" fontId="3" fillId="0" borderId="269" xfId="0" applyNumberFormat="1" applyFont="1" applyBorder="1" applyAlignment="1" applyProtection="1">
      <alignment horizontal="right"/>
    </xf>
    <xf numFmtId="165" fontId="3" fillId="0" borderId="270" xfId="0" applyNumberFormat="1" applyFont="1" applyBorder="1" applyAlignment="1" applyProtection="1">
      <alignment horizontal="left" vertical="top"/>
    </xf>
    <xf numFmtId="165" fontId="6" fillId="0" borderId="266" xfId="0" applyNumberFormat="1" applyFont="1" applyBorder="1" applyProtection="1"/>
    <xf numFmtId="165" fontId="18" fillId="0" borderId="231" xfId="0" applyNumberFormat="1" applyFont="1" applyBorder="1" applyAlignment="1" applyProtection="1">
      <alignment horizontal="left"/>
    </xf>
    <xf numFmtId="165" fontId="18" fillId="0" borderId="232" xfId="0" applyNumberFormat="1" applyFont="1" applyBorder="1" applyAlignment="1" applyProtection="1">
      <alignment horizontal="left"/>
    </xf>
    <xf numFmtId="165" fontId="18" fillId="0" borderId="232" xfId="0" applyNumberFormat="1" applyFont="1" applyBorder="1" applyAlignment="1" applyProtection="1">
      <alignment horizontal="left" vertical="top" wrapText="1"/>
    </xf>
    <xf numFmtId="165" fontId="18" fillId="0" borderId="271" xfId="0" applyNumberFormat="1" applyFont="1" applyBorder="1" applyAlignment="1" applyProtection="1">
      <alignment horizontal="left" vertical="top" wrapText="1"/>
    </xf>
    <xf numFmtId="165" fontId="18" fillId="0" borderId="227" xfId="0" applyNumberFormat="1" applyFont="1" applyBorder="1" applyAlignment="1" applyProtection="1">
      <alignment horizontal="left"/>
    </xf>
    <xf numFmtId="165" fontId="18" fillId="0" borderId="233" xfId="0" applyNumberFormat="1" applyFont="1" applyBorder="1" applyAlignment="1" applyProtection="1">
      <alignment horizontal="left" vertical="top" wrapText="1"/>
    </xf>
    <xf numFmtId="165" fontId="18" fillId="0" borderId="234" xfId="0" applyNumberFormat="1" applyFont="1" applyBorder="1" applyAlignment="1" applyProtection="1">
      <alignment horizontal="left"/>
    </xf>
    <xf numFmtId="165" fontId="3" fillId="0" borderId="209" xfId="0" applyNumberFormat="1" applyFont="1" applyBorder="1" applyAlignment="1" applyProtection="1">
      <alignment horizontal="left" vertical="top"/>
    </xf>
    <xf numFmtId="165" fontId="3" fillId="0" borderId="210" xfId="0" applyNumberFormat="1" applyFont="1" applyBorder="1" applyProtection="1"/>
    <xf numFmtId="165" fontId="12" fillId="0" borderId="210" xfId="0" applyNumberFormat="1" applyFont="1" applyBorder="1" applyProtection="1"/>
    <xf numFmtId="165" fontId="30" fillId="0" borderId="210" xfId="0" applyNumberFormat="1" applyFont="1" applyBorder="1" applyAlignment="1" applyProtection="1">
      <alignment horizontal="center" shrinkToFit="1"/>
    </xf>
    <xf numFmtId="0" fontId="31" fillId="0" borderId="210" xfId="0" applyFont="1" applyBorder="1" applyAlignment="1">
      <alignment horizontal="center" shrinkToFit="1"/>
    </xf>
    <xf numFmtId="0" fontId="8" fillId="0" borderId="211" xfId="0" applyFont="1" applyBorder="1" applyAlignment="1">
      <alignment horizontal="center"/>
    </xf>
    <xf numFmtId="165" fontId="39" fillId="8" borderId="212" xfId="0" applyNumberFormat="1" applyFont="1" applyFill="1" applyBorder="1" applyAlignment="1" applyProtection="1">
      <alignment horizontal="center" vertical="center" wrapText="1" shrinkToFit="1"/>
    </xf>
    <xf numFmtId="165" fontId="3" fillId="0" borderId="212" xfId="0" applyNumberFormat="1" applyFont="1" applyBorder="1" applyAlignment="1" applyProtection="1">
      <alignment horizontal="center"/>
    </xf>
    <xf numFmtId="0" fontId="16" fillId="0" borderId="0" xfId="0" applyFont="1" applyBorder="1" applyAlignment="1">
      <alignment horizontal="left" vertical="top" wrapText="1"/>
    </xf>
    <xf numFmtId="3" fontId="16" fillId="0" borderId="50" xfId="0" applyNumberFormat="1" applyFont="1" applyBorder="1"/>
    <xf numFmtId="3" fontId="14" fillId="0" borderId="272" xfId="0" applyNumberFormat="1" applyFont="1" applyBorder="1" applyProtection="1"/>
    <xf numFmtId="3" fontId="14" fillId="0" borderId="273" xfId="0" applyNumberFormat="1" applyFont="1" applyBorder="1" applyAlignment="1" applyProtection="1">
      <alignment vertical="center" wrapText="1"/>
    </xf>
    <xf numFmtId="1" fontId="38" fillId="0" borderId="198" xfId="0" applyNumberFormat="1" applyFont="1" applyBorder="1" applyAlignment="1" applyProtection="1">
      <alignment horizontal="left" vertical="center" wrapText="1"/>
    </xf>
    <xf numFmtId="1" fontId="38" fillId="0" borderId="198" xfId="0" applyNumberFormat="1" applyFont="1" applyBorder="1" applyAlignment="1" applyProtection="1">
      <alignment horizontal="center" vertical="center" wrapText="1"/>
    </xf>
    <xf numFmtId="1" fontId="37" fillId="0" borderId="198" xfId="0" applyNumberFormat="1" applyFont="1" applyBorder="1" applyAlignment="1" applyProtection="1">
      <alignment horizontal="center" vertical="center" wrapText="1"/>
    </xf>
    <xf numFmtId="165" fontId="3" fillId="0" borderId="198" xfId="0" applyNumberFormat="1" applyFont="1" applyBorder="1" applyProtection="1"/>
    <xf numFmtId="0" fontId="33" fillId="0" borderId="198" xfId="0" applyNumberFormat="1" applyFont="1" applyBorder="1" applyAlignment="1" applyProtection="1">
      <alignment horizontal="center" vertical="center" shrinkToFit="1"/>
      <protection hidden="1"/>
    </xf>
    <xf numFmtId="167" fontId="80" fillId="3" borderId="119" xfId="0" applyNumberFormat="1" applyFont="1" applyFill="1" applyBorder="1" applyAlignment="1" applyProtection="1">
      <alignment horizontal="center"/>
    </xf>
    <xf numFmtId="165" fontId="14" fillId="3" borderId="172" xfId="0" applyNumberFormat="1" applyFont="1" applyFill="1" applyBorder="1" applyAlignment="1" applyProtection="1">
      <alignment horizontal="left" vertical="center" wrapText="1"/>
    </xf>
    <xf numFmtId="165" fontId="14" fillId="3" borderId="48" xfId="0" applyNumberFormat="1" applyFont="1" applyFill="1" applyBorder="1" applyAlignment="1" applyProtection="1">
      <alignment horizontal="left" vertical="center" wrapText="1"/>
    </xf>
    <xf numFmtId="165" fontId="14" fillId="3" borderId="52" xfId="0" applyNumberFormat="1" applyFont="1" applyFill="1" applyBorder="1" applyAlignment="1" applyProtection="1">
      <alignment horizontal="left" vertical="center" wrapText="1"/>
    </xf>
    <xf numFmtId="165" fontId="14" fillId="3" borderId="68" xfId="0" applyNumberFormat="1" applyFont="1" applyFill="1" applyBorder="1" applyAlignment="1" applyProtection="1">
      <alignment horizontal="left" vertical="center" wrapText="1"/>
    </xf>
    <xf numFmtId="165" fontId="18" fillId="0" borderId="274" xfId="0" applyNumberFormat="1" applyFont="1" applyBorder="1" applyAlignment="1" applyProtection="1">
      <alignment horizontal="left" vertical="center" wrapText="1"/>
    </xf>
    <xf numFmtId="165" fontId="18" fillId="0" borderId="244" xfId="0" applyNumberFormat="1" applyFont="1" applyBorder="1" applyAlignment="1" applyProtection="1">
      <alignment horizontal="left" vertical="center" wrapText="1"/>
    </xf>
    <xf numFmtId="165" fontId="18" fillId="0" borderId="248" xfId="0" applyNumberFormat="1" applyFont="1" applyBorder="1" applyAlignment="1" applyProtection="1">
      <alignment horizontal="left" vertical="center" wrapText="1"/>
    </xf>
    <xf numFmtId="165" fontId="18" fillId="0" borderId="243" xfId="0" applyNumberFormat="1" applyFont="1" applyBorder="1" applyAlignment="1" applyProtection="1">
      <alignment horizontal="left" vertical="center"/>
    </xf>
    <xf numFmtId="165" fontId="18" fillId="0" borderId="244" xfId="0" applyNumberFormat="1" applyFont="1" applyBorder="1" applyAlignment="1" applyProtection="1">
      <alignment horizontal="left" vertical="center"/>
    </xf>
    <xf numFmtId="165" fontId="18" fillId="0" borderId="275" xfId="0" applyNumberFormat="1" applyFont="1" applyBorder="1" applyAlignment="1" applyProtection="1">
      <alignment horizontal="left" vertical="center"/>
    </xf>
    <xf numFmtId="0" fontId="58" fillId="0" borderId="0" xfId="0" quotePrefix="1" applyFont="1" applyBorder="1" applyAlignment="1">
      <alignment horizontal="left" vertical="top"/>
    </xf>
  </cellXfs>
  <cellStyles count="6">
    <cellStyle name="Comma" xfId="1" builtinId="3"/>
    <cellStyle name="Hyperlink" xfId="2" builtinId="8"/>
    <cellStyle name="Normal" xfId="0" builtinId="0"/>
    <cellStyle name="Normal 2" xfId="5"/>
    <cellStyle name="Normal 2 2" xfId="3"/>
    <cellStyle name="Percent" xfId="4" builtinId="5"/>
  </cellStyles>
  <dxfs count="0"/>
  <tableStyles count="0" defaultTableStyle="TableStyleMedium9" defaultPivotStyle="PivotStyleLight16"/>
  <colors>
    <mruColors>
      <color rgb="FFF1FD7F"/>
      <color rgb="FFFF0000"/>
      <color rgb="FFFFC819"/>
      <color rgb="FFF9B47B"/>
      <color rgb="FFA4D76B"/>
      <color rgb="FF9ED561"/>
      <color rgb="FFC00000"/>
      <color rgb="FF0000FF"/>
      <color rgb="FFCEF551"/>
      <color rgb="FFA6D86E"/>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29</xdr:row>
      <xdr:rowOff>0</xdr:rowOff>
    </xdr:from>
    <xdr:to>
      <xdr:col>5</xdr:col>
      <xdr:colOff>190500</xdr:colOff>
      <xdr:row>30</xdr:row>
      <xdr:rowOff>57150</xdr:rowOff>
    </xdr:to>
    <xdr:sp macro="" textlink="">
      <xdr:nvSpPr>
        <xdr:cNvPr id="2" name="Rectangle 1"/>
        <xdr:cNvSpPr>
          <a:spLocks noChangeArrowheads="1"/>
        </xdr:cNvSpPr>
      </xdr:nvSpPr>
      <xdr:spPr bwMode="auto">
        <a:xfrm>
          <a:off x="2095500" y="94888050"/>
          <a:ext cx="190500" cy="257175"/>
        </a:xfrm>
        <a:prstGeom prst="rect">
          <a:avLst/>
        </a:prstGeom>
        <a:noFill/>
        <a:ln w="9525">
          <a:noFill/>
          <a:miter lim="800000"/>
          <a:headEnd/>
          <a:tailEnd/>
        </a:ln>
      </xdr:spPr>
    </xdr:sp>
    <xdr:clientData/>
  </xdr:twoCellAnchor>
  <xdr:twoCellAnchor editAs="oneCell">
    <xdr:from>
      <xdr:col>1</xdr:col>
      <xdr:colOff>1</xdr:colOff>
      <xdr:row>84</xdr:row>
      <xdr:rowOff>0</xdr:rowOff>
    </xdr:from>
    <xdr:to>
      <xdr:col>14</xdr:col>
      <xdr:colOff>180976</xdr:colOff>
      <xdr:row>86</xdr:row>
      <xdr:rowOff>47625</xdr:rowOff>
    </xdr:to>
    <xdr:sp macro="" textlink="">
      <xdr:nvSpPr>
        <xdr:cNvPr id="3" name="Rectangle 2"/>
        <xdr:cNvSpPr>
          <a:spLocks noChangeArrowheads="1"/>
        </xdr:cNvSpPr>
      </xdr:nvSpPr>
      <xdr:spPr bwMode="auto">
        <a:xfrm>
          <a:off x="190501" y="99183825"/>
          <a:ext cx="7734300" cy="3810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SIVAPRASAD\Downloads\MODEL%20CLCSS%20CLAIM%2020%2012%202019%20(3)%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MC"/>
      <sheetName val="Emblm"/>
      <sheetName val="HO"/>
      <sheetName val="Filter"/>
      <sheetName val="option"/>
      <sheetName val="BK"/>
      <sheetName val="CE"/>
      <sheetName val="SDB"/>
      <sheetName val="Clt"/>
      <sheetName val="Stmt"/>
      <sheetName val="100"/>
      <sheetName val="scst"/>
      <sheetName val="SBI"/>
      <sheetName val="AB- mg"/>
      <sheetName val="AB"/>
      <sheetName val="BOI"/>
      <sheetName val="canara B"/>
      <sheetName val="canar"/>
      <sheetName val="SIB"/>
      <sheetName val="UBI"/>
      <sheetName val="OBC"/>
      <sheetName val="AXIS"/>
      <sheetName val="APSFC"/>
      <sheetName val="IDBI"/>
      <sheetName val="zo"/>
      <sheetName val="D3"/>
      <sheetName val="chk"/>
      <sheetName val="BOI-o"/>
      <sheetName val="AB-o"/>
      <sheetName val="sb-o"/>
      <sheetName val="MOU"/>
      <sheetName val="CANARA N"/>
    </sheetNames>
    <sheetDataSet>
      <sheetData sheetId="0">
        <row r="13">
          <cell r="W13" t="str">
            <v>12. Glass &amp; Ceramic, Tiles etc.,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ound((+F1381-F1380-F1379)*$H$1480/365,-2)" TargetMode="External"/><Relationship Id="rId3" Type="http://schemas.openxmlformats.org/officeDocument/2006/relationships/hyperlink" Target="mailto:=@round(F1372*$H$1497/365,-2)" TargetMode="External"/><Relationship Id="rId7" Type="http://schemas.openxmlformats.org/officeDocument/2006/relationships/hyperlink" Target="mailto:=@round((+F1381-F1379-F1380)*$H$1479/365*H108/100,-2)" TargetMode="External"/><Relationship Id="rId2" Type="http://schemas.openxmlformats.org/officeDocument/2006/relationships/hyperlink" Target="mailto:=@round(F1372*$H$1497/365,-2)" TargetMode="External"/><Relationship Id="rId1" Type="http://schemas.openxmlformats.org/officeDocument/2006/relationships/hyperlink" Target="mailto:=@round(SUM(($H$805+H819)*$H$1471)/365*E6/100,-3)" TargetMode="External"/><Relationship Id="rId6" Type="http://schemas.openxmlformats.org/officeDocument/2006/relationships/hyperlink" Target="mailto:=@round((+F1381-F1379-F1380)*$H$1479/365*H108/100,-2)" TargetMode="External"/><Relationship Id="rId5" Type="http://schemas.openxmlformats.org/officeDocument/2006/relationships/hyperlink" Target="mailto:=@round(SUM(($H$805+H819)*$H$1471)/365*E6/100,-3)" TargetMode="External"/><Relationship Id="rId10" Type="http://schemas.openxmlformats.org/officeDocument/2006/relationships/printerSettings" Target="../printerSettings/printerSettings1.bin"/><Relationship Id="rId4" Type="http://schemas.openxmlformats.org/officeDocument/2006/relationships/hyperlink" Target="mailto:=@round(SUM(($H$805+H819)*$H$1471)/365*E6/100,-3)" TargetMode="External"/><Relationship Id="rId9" Type="http://schemas.openxmlformats.org/officeDocument/2006/relationships/hyperlink" Target="mailto:=@round((+F1381-F1380-F1379)*$H$1480/36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OUND(SUM(H822:H827),-3)" TargetMode="External"/><Relationship Id="rId2" Type="http://schemas.openxmlformats.org/officeDocument/2006/relationships/hyperlink" Target="mailto:=@round(100-I417-I415,-2)" TargetMode="External"/><Relationship Id="rId1" Type="http://schemas.openxmlformats.org/officeDocument/2006/relationships/hyperlink" Target="mailto:=@ROUND(SUM(H822:H827),-3)"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AK570"/>
  <sheetViews>
    <sheetView showZeros="0" topLeftCell="A25" workbookViewId="0">
      <selection activeCell="O88" sqref="O88"/>
    </sheetView>
  </sheetViews>
  <sheetFormatPr defaultRowHeight="12.75"/>
  <cols>
    <col min="1" max="1" width="2.85546875" style="90" customWidth="1"/>
    <col min="2" max="2" width="4.5703125" style="90" customWidth="1"/>
    <col min="3" max="3" width="4.85546875" style="90" customWidth="1"/>
    <col min="4" max="4" width="7.140625" style="90" customWidth="1"/>
    <col min="5" max="6" width="11.28515625" style="90" customWidth="1"/>
    <col min="7" max="7" width="16.42578125" style="90" customWidth="1"/>
    <col min="8" max="8" width="11.28515625" style="101" customWidth="1"/>
    <col min="9" max="12" width="11.28515625" style="90" customWidth="1"/>
    <col min="13" max="13" width="1.5703125" style="111" customWidth="1"/>
    <col min="14" max="14" width="9.5703125" customWidth="1"/>
    <col min="15" max="15" width="10" customWidth="1"/>
    <col min="16" max="16" width="10.7109375" customWidth="1"/>
    <col min="17" max="17" width="15.85546875" customWidth="1"/>
    <col min="18" max="18" width="11.140625" customWidth="1"/>
    <col min="19" max="19" width="16.5703125" customWidth="1"/>
    <col min="20" max="20" width="17" customWidth="1"/>
    <col min="21" max="21" width="14" customWidth="1"/>
    <col min="22" max="22" width="10.42578125" customWidth="1"/>
    <col min="23" max="23" width="10.5703125" customWidth="1"/>
    <col min="24" max="24" width="13.42578125" customWidth="1"/>
    <col min="25" max="25" width="13.7109375" customWidth="1"/>
    <col min="26" max="26" width="18.85546875" customWidth="1"/>
    <col min="27" max="27" width="3.140625" customWidth="1"/>
    <col min="28" max="28" width="50.5703125" customWidth="1"/>
    <col min="29" max="29" width="10" customWidth="1"/>
    <col min="30" max="30" width="10.7109375" customWidth="1"/>
    <col min="31" max="31" width="10" customWidth="1"/>
    <col min="32" max="32" width="6" style="76" customWidth="1"/>
    <col min="33" max="33" width="23.7109375" customWidth="1"/>
    <col min="34" max="34" width="12.42578125" customWidth="1"/>
    <col min="35" max="35" width="6.42578125" customWidth="1"/>
    <col min="36" max="36" width="11.42578125" customWidth="1"/>
    <col min="37" max="37" width="6.140625" customWidth="1"/>
    <col min="38" max="38" width="5.42578125" customWidth="1"/>
  </cols>
  <sheetData>
    <row r="1" spans="1:18" s="90" customFormat="1" ht="15.95" customHeight="1" thickTop="1" thickBot="1">
      <c r="A1" s="476"/>
      <c r="B1" s="1116" t="s">
        <v>558</v>
      </c>
      <c r="C1" s="1117"/>
      <c r="D1" s="1117"/>
      <c r="E1" s="1117"/>
      <c r="F1" s="1117"/>
      <c r="G1" s="1117"/>
      <c r="H1" s="1117"/>
      <c r="I1" s="1117"/>
      <c r="J1" s="1117"/>
      <c r="K1" s="1117"/>
      <c r="L1" s="1118"/>
      <c r="M1" s="1053"/>
      <c r="N1" s="122" t="s">
        <v>544</v>
      </c>
      <c r="O1" s="296"/>
    </row>
    <row r="2" spans="1:18" s="90" customFormat="1" ht="15.95" customHeight="1" thickTop="1">
      <c r="A2" s="109"/>
      <c r="B2" s="1133" t="s">
        <v>288</v>
      </c>
      <c r="C2" s="1134"/>
      <c r="D2" s="1134"/>
      <c r="E2" s="1134"/>
      <c r="F2" s="1135"/>
      <c r="G2" s="1130" t="s">
        <v>508</v>
      </c>
      <c r="H2" s="1131"/>
      <c r="I2" s="1131"/>
      <c r="J2" s="1131"/>
      <c r="K2" s="1131"/>
      <c r="L2" s="1132"/>
      <c r="M2" s="1053"/>
      <c r="N2" s="109"/>
      <c r="O2" s="109"/>
      <c r="P2" s="109"/>
      <c r="Q2" s="109"/>
      <c r="R2" s="109"/>
    </row>
    <row r="3" spans="1:18" s="90" customFormat="1" ht="15.95" customHeight="1">
      <c r="A3" s="109"/>
      <c r="B3" s="1136" t="s">
        <v>16</v>
      </c>
      <c r="C3" s="1137"/>
      <c r="D3" s="1137"/>
      <c r="E3" s="1137"/>
      <c r="F3" s="1138"/>
      <c r="G3" s="1145" t="s">
        <v>644</v>
      </c>
      <c r="H3" s="1146"/>
      <c r="I3" s="1146"/>
      <c r="J3" s="1146"/>
      <c r="K3" s="1146"/>
      <c r="L3" s="1147"/>
      <c r="M3" s="1053"/>
      <c r="N3" s="109"/>
      <c r="O3" s="109"/>
      <c r="P3" s="109"/>
      <c r="Q3" s="109"/>
      <c r="R3" s="109"/>
    </row>
    <row r="4" spans="1:18" s="90" customFormat="1" ht="15.95" customHeight="1">
      <c r="A4" s="109"/>
      <c r="B4" s="1139" t="s">
        <v>70</v>
      </c>
      <c r="C4" s="1140"/>
      <c r="D4" s="1140"/>
      <c r="E4" s="1140"/>
      <c r="F4" s="1141"/>
      <c r="G4" s="1145" t="s">
        <v>643</v>
      </c>
      <c r="H4" s="1146"/>
      <c r="I4" s="1146"/>
      <c r="J4" s="1146"/>
      <c r="K4" s="1146"/>
      <c r="L4" s="1147"/>
      <c r="M4" s="1053"/>
      <c r="N4" s="109"/>
      <c r="O4" s="109"/>
      <c r="P4" s="109"/>
      <c r="Q4" s="109"/>
      <c r="R4" s="109"/>
    </row>
    <row r="5" spans="1:18" s="90" customFormat="1" ht="15.95" customHeight="1">
      <c r="A5" s="109"/>
      <c r="B5" s="1142" t="s">
        <v>574</v>
      </c>
      <c r="C5" s="1143"/>
      <c r="D5" s="1143"/>
      <c r="E5" s="1143"/>
      <c r="F5" s="1144"/>
      <c r="G5" s="316" t="s">
        <v>550</v>
      </c>
      <c r="H5" s="140"/>
      <c r="I5" s="140"/>
      <c r="J5" s="140"/>
      <c r="K5" s="140"/>
      <c r="L5" s="454"/>
      <c r="M5" s="1053"/>
      <c r="N5" s="109"/>
      <c r="O5" s="109"/>
      <c r="P5" s="109"/>
      <c r="Q5" s="109"/>
      <c r="R5" s="109"/>
    </row>
    <row r="6" spans="1:18" s="90" customFormat="1" ht="15.95" customHeight="1" thickBot="1">
      <c r="A6" s="109"/>
      <c r="B6" s="1159" t="s">
        <v>7</v>
      </c>
      <c r="C6" s="1160"/>
      <c r="D6" s="1160"/>
      <c r="E6" s="1160"/>
      <c r="F6" s="1161"/>
      <c r="G6" s="455" t="s">
        <v>535</v>
      </c>
      <c r="H6" s="456"/>
      <c r="I6" s="456"/>
      <c r="J6" s="456"/>
      <c r="K6" s="456"/>
      <c r="L6" s="457"/>
      <c r="M6" s="1053"/>
      <c r="N6" s="867" t="s">
        <v>645</v>
      </c>
      <c r="O6" s="109"/>
      <c r="P6" s="109"/>
      <c r="Q6" s="109"/>
      <c r="R6" s="109"/>
    </row>
    <row r="7" spans="1:18" s="90" customFormat="1" ht="15.95" customHeight="1" thickTop="1">
      <c r="A7" s="109"/>
      <c r="B7" s="1169" t="s">
        <v>594</v>
      </c>
      <c r="C7" s="1170"/>
      <c r="D7" s="1170"/>
      <c r="E7" s="1170"/>
      <c r="F7" s="1171"/>
      <c r="G7" s="480" t="s">
        <v>509</v>
      </c>
      <c r="H7" s="481"/>
      <c r="I7" s="481"/>
      <c r="J7" s="481"/>
      <c r="K7" s="481"/>
      <c r="L7" s="482"/>
      <c r="M7" s="1053"/>
      <c r="N7" s="109"/>
      <c r="O7" s="109"/>
      <c r="P7" s="109"/>
      <c r="Q7" s="109"/>
      <c r="R7" s="109"/>
    </row>
    <row r="8" spans="1:18" s="90" customFormat="1" ht="15.95" customHeight="1">
      <c r="A8" s="109"/>
      <c r="B8" s="458" t="s">
        <v>241</v>
      </c>
      <c r="C8" s="459"/>
      <c r="D8" s="459"/>
      <c r="E8" s="459"/>
      <c r="F8" s="313"/>
      <c r="G8" s="316" t="s">
        <v>451</v>
      </c>
      <c r="H8" s="140"/>
      <c r="I8" s="140"/>
      <c r="J8" s="140"/>
      <c r="K8" s="140"/>
      <c r="L8" s="454"/>
      <c r="M8" s="1053"/>
      <c r="N8" s="109"/>
      <c r="O8" s="109"/>
      <c r="P8" s="109"/>
      <c r="Q8" s="109"/>
      <c r="R8" s="109"/>
    </row>
    <row r="9" spans="1:18" s="90" customFormat="1" ht="15.95" customHeight="1">
      <c r="A9" s="109"/>
      <c r="B9" s="458" t="s">
        <v>492</v>
      </c>
      <c r="C9" s="459"/>
      <c r="D9" s="459"/>
      <c r="E9" s="459"/>
      <c r="F9" s="313"/>
      <c r="G9" s="316" t="s">
        <v>452</v>
      </c>
      <c r="H9" s="140"/>
      <c r="I9" s="140"/>
      <c r="J9" s="140"/>
      <c r="K9" s="140"/>
      <c r="L9" s="454"/>
      <c r="M9" s="1053"/>
      <c r="N9" s="109"/>
      <c r="O9" s="109"/>
      <c r="P9" s="109"/>
      <c r="Q9" s="109"/>
      <c r="R9" s="109"/>
    </row>
    <row r="10" spans="1:18" s="90" customFormat="1" ht="15.95" customHeight="1">
      <c r="A10" s="109"/>
      <c r="B10" s="458" t="s">
        <v>242</v>
      </c>
      <c r="C10" s="459"/>
      <c r="D10" s="459"/>
      <c r="E10" s="459"/>
      <c r="F10" s="313"/>
      <c r="G10" s="316" t="s">
        <v>244</v>
      </c>
      <c r="H10" s="140"/>
      <c r="I10" s="140"/>
      <c r="J10" s="140"/>
      <c r="K10" s="140"/>
      <c r="L10" s="454"/>
      <c r="M10" s="1053"/>
      <c r="O10" s="109"/>
      <c r="P10" s="109"/>
      <c r="Q10" s="109"/>
      <c r="R10" s="109"/>
    </row>
    <row r="11" spans="1:18" s="90" customFormat="1" ht="15.95" customHeight="1">
      <c r="A11" s="109"/>
      <c r="B11" s="458" t="s">
        <v>499</v>
      </c>
      <c r="C11" s="459"/>
      <c r="D11" s="459"/>
      <c r="E11" s="459"/>
      <c r="F11" s="313"/>
      <c r="G11" s="537" t="s">
        <v>500</v>
      </c>
      <c r="H11" s="140"/>
      <c r="I11" s="140"/>
      <c r="J11" s="140"/>
      <c r="K11" s="140"/>
      <c r="L11" s="454"/>
      <c r="M11" s="1053"/>
      <c r="O11" s="109"/>
      <c r="P11" s="109"/>
      <c r="Q11" s="109"/>
      <c r="R11" s="109"/>
    </row>
    <row r="12" spans="1:18" s="90" customFormat="1" ht="15.95" customHeight="1">
      <c r="A12" s="109"/>
      <c r="B12" s="458" t="s">
        <v>302</v>
      </c>
      <c r="C12" s="459"/>
      <c r="D12" s="459"/>
      <c r="E12" s="459"/>
      <c r="F12" s="313"/>
      <c r="G12" s="537" t="s">
        <v>450</v>
      </c>
      <c r="H12" s="140"/>
      <c r="I12" s="140"/>
      <c r="J12" s="140"/>
      <c r="K12" s="140"/>
      <c r="L12" s="454"/>
      <c r="M12" s="1053"/>
      <c r="N12" s="109"/>
      <c r="O12" s="109"/>
      <c r="P12" s="109"/>
      <c r="Q12" s="109"/>
      <c r="R12" s="109"/>
    </row>
    <row r="13" spans="1:18" s="90" customFormat="1" ht="15.95" customHeight="1">
      <c r="A13" s="109"/>
      <c r="B13" s="581" t="s">
        <v>621</v>
      </c>
      <c r="C13" s="582"/>
      <c r="D13" s="582"/>
      <c r="E13" s="582"/>
      <c r="F13" s="583"/>
      <c r="G13" s="586" t="s">
        <v>622</v>
      </c>
      <c r="H13" s="584"/>
      <c r="I13" s="584"/>
      <c r="J13" s="584"/>
      <c r="K13" s="584"/>
      <c r="L13" s="585"/>
      <c r="M13" s="1053"/>
      <c r="N13" s="109"/>
      <c r="O13" s="109"/>
      <c r="P13" s="109"/>
      <c r="Q13" s="109"/>
      <c r="R13" s="109"/>
    </row>
    <row r="14" spans="1:18" s="90" customFormat="1" ht="15.95" customHeight="1" thickBot="1">
      <c r="A14" s="109"/>
      <c r="B14" s="460" t="s">
        <v>73</v>
      </c>
      <c r="C14" s="461"/>
      <c r="D14" s="461"/>
      <c r="E14" s="461"/>
      <c r="F14" s="462"/>
      <c r="G14" s="483">
        <v>9454854559</v>
      </c>
      <c r="H14" s="456"/>
      <c r="I14" s="456"/>
      <c r="J14" s="456"/>
      <c r="K14" s="456"/>
      <c r="L14" s="457"/>
      <c r="M14" s="1053"/>
      <c r="N14" s="109"/>
      <c r="O14" s="109"/>
      <c r="P14" s="109"/>
      <c r="Q14" s="109"/>
      <c r="R14" s="109"/>
    </row>
    <row r="15" spans="1:18" s="90" customFormat="1" ht="15.95" customHeight="1" thickTop="1">
      <c r="A15" s="109"/>
      <c r="B15" s="534" t="s">
        <v>595</v>
      </c>
      <c r="C15" s="463"/>
      <c r="D15" s="463"/>
      <c r="E15" s="463"/>
      <c r="F15" s="464"/>
      <c r="G15" s="480" t="s">
        <v>510</v>
      </c>
      <c r="H15" s="481"/>
      <c r="I15" s="481"/>
      <c r="J15" s="481"/>
      <c r="K15" s="481"/>
      <c r="L15" s="482"/>
      <c r="M15" s="1053"/>
      <c r="N15" s="109"/>
      <c r="O15" s="109"/>
      <c r="P15" s="109"/>
      <c r="Q15" s="109"/>
      <c r="R15" s="109"/>
    </row>
    <row r="16" spans="1:18" s="90" customFormat="1" ht="15.95" customHeight="1">
      <c r="A16" s="109"/>
      <c r="B16" s="458" t="s">
        <v>241</v>
      </c>
      <c r="C16" s="459"/>
      <c r="D16" s="459"/>
      <c r="E16" s="459"/>
      <c r="F16" s="313"/>
      <c r="G16" s="316" t="s">
        <v>453</v>
      </c>
      <c r="H16" s="140"/>
      <c r="I16" s="140"/>
      <c r="J16" s="140"/>
      <c r="K16" s="140"/>
      <c r="L16" s="454"/>
      <c r="M16" s="1053"/>
      <c r="N16" s="109"/>
      <c r="O16" s="109"/>
      <c r="P16" s="109"/>
      <c r="Q16" s="109"/>
      <c r="R16" s="109"/>
    </row>
    <row r="17" spans="1:18" s="90" customFormat="1" ht="15.95" customHeight="1">
      <c r="A17" s="109"/>
      <c r="B17" s="458" t="s">
        <v>492</v>
      </c>
      <c r="C17" s="459"/>
      <c r="D17" s="459"/>
      <c r="E17" s="459"/>
      <c r="F17" s="313"/>
      <c r="G17" s="316" t="s">
        <v>454</v>
      </c>
      <c r="H17" s="140"/>
      <c r="I17" s="140"/>
      <c r="J17" s="140"/>
      <c r="K17" s="140"/>
      <c r="L17" s="454"/>
      <c r="M17" s="1053"/>
      <c r="N17" s="109"/>
      <c r="O17" s="109"/>
      <c r="P17" s="109"/>
      <c r="Q17" s="109"/>
      <c r="R17" s="109"/>
    </row>
    <row r="18" spans="1:18" s="90" customFormat="1" ht="15.95" customHeight="1">
      <c r="A18" s="109"/>
      <c r="B18" s="458" t="s">
        <v>242</v>
      </c>
      <c r="C18" s="459"/>
      <c r="D18" s="459"/>
      <c r="E18" s="459"/>
      <c r="F18" s="313"/>
      <c r="G18" s="316" t="s">
        <v>243</v>
      </c>
      <c r="H18" s="140"/>
      <c r="I18" s="140"/>
      <c r="J18" s="140"/>
      <c r="K18" s="140"/>
      <c r="L18" s="454"/>
      <c r="M18" s="1053"/>
      <c r="N18" s="357" t="s">
        <v>542</v>
      </c>
      <c r="O18" s="358"/>
      <c r="P18" s="358"/>
      <c r="Q18" s="109"/>
      <c r="R18" s="109"/>
    </row>
    <row r="19" spans="1:18" s="90" customFormat="1" ht="15.95" customHeight="1">
      <c r="A19" s="109"/>
      <c r="B19" s="458" t="s">
        <v>499</v>
      </c>
      <c r="C19" s="459"/>
      <c r="D19" s="459"/>
      <c r="E19" s="459"/>
      <c r="F19" s="313"/>
      <c r="G19" s="316" t="s">
        <v>500</v>
      </c>
      <c r="H19" s="140"/>
      <c r="I19" s="140"/>
      <c r="J19" s="140"/>
      <c r="K19" s="140"/>
      <c r="L19" s="454"/>
      <c r="M19" s="1053"/>
      <c r="N19" s="357" t="s">
        <v>9</v>
      </c>
      <c r="O19" s="358"/>
      <c r="P19" s="358"/>
      <c r="Q19" s="109"/>
      <c r="R19" s="109"/>
    </row>
    <row r="20" spans="1:18" s="90" customFormat="1" ht="15.95" customHeight="1" thickBot="1">
      <c r="A20" s="109"/>
      <c r="B20" s="465" t="s">
        <v>501</v>
      </c>
      <c r="C20" s="461"/>
      <c r="D20" s="461"/>
      <c r="E20" s="461"/>
      <c r="F20" s="466"/>
      <c r="G20" s="484">
        <v>502336</v>
      </c>
      <c r="H20" s="456"/>
      <c r="I20" s="485"/>
      <c r="J20" s="485"/>
      <c r="K20" s="485"/>
      <c r="L20" s="457"/>
      <c r="M20" s="1053"/>
      <c r="N20" s="357" t="s">
        <v>541</v>
      </c>
      <c r="O20" s="359"/>
      <c r="P20" s="6"/>
      <c r="Q20" s="109"/>
      <c r="R20" s="109"/>
    </row>
    <row r="21" spans="1:18" s="90" customFormat="1" ht="15.95" customHeight="1" thickTop="1">
      <c r="A21" s="109"/>
      <c r="B21" s="467" t="s">
        <v>511</v>
      </c>
      <c r="C21" s="463"/>
      <c r="D21" s="463"/>
      <c r="E21" s="463"/>
      <c r="F21" s="468"/>
      <c r="G21" s="486" t="str">
        <f>+N21</f>
        <v>Mudra Scheme</v>
      </c>
      <c r="H21" s="481"/>
      <c r="I21" s="487"/>
      <c r="J21" s="487"/>
      <c r="K21" s="487"/>
      <c r="L21" s="482"/>
      <c r="M21" s="1053"/>
      <c r="N21" s="357" t="s">
        <v>503</v>
      </c>
      <c r="O21" s="359"/>
      <c r="P21" s="6"/>
      <c r="Q21" s="109"/>
      <c r="R21" s="109"/>
    </row>
    <row r="22" spans="1:18" s="90" customFormat="1" ht="15.95" customHeight="1">
      <c r="A22" s="109"/>
      <c r="B22" s="458" t="s">
        <v>285</v>
      </c>
      <c r="C22" s="459"/>
      <c r="D22" s="459"/>
      <c r="E22" s="459"/>
      <c r="F22" s="313"/>
      <c r="G22" s="488" t="s">
        <v>512</v>
      </c>
      <c r="H22" s="140"/>
      <c r="I22" s="477"/>
      <c r="J22" s="477"/>
      <c r="K22" s="477"/>
      <c r="L22" s="454"/>
      <c r="M22" s="1053"/>
      <c r="N22" s="360" t="s">
        <v>286</v>
      </c>
      <c r="O22" s="361">
        <f ca="1">(TODAY()-G22)/365</f>
        <v>30.583561643835615</v>
      </c>
      <c r="P22" s="358"/>
      <c r="Q22" s="109"/>
      <c r="R22" s="109"/>
    </row>
    <row r="23" spans="1:18" s="90" customFormat="1" ht="15.95" customHeight="1">
      <c r="A23" s="109"/>
      <c r="B23" s="458" t="s">
        <v>287</v>
      </c>
      <c r="C23" s="459"/>
      <c r="D23" s="459"/>
      <c r="E23" s="459"/>
      <c r="F23" s="313"/>
      <c r="G23" s="489" t="s">
        <v>513</v>
      </c>
      <c r="H23" s="140"/>
      <c r="I23" s="477"/>
      <c r="J23" s="140"/>
      <c r="K23" s="140"/>
      <c r="L23" s="454"/>
      <c r="M23" s="1053"/>
      <c r="N23" s="358"/>
      <c r="O23" s="358"/>
      <c r="P23" s="358"/>
      <c r="Q23" s="109"/>
      <c r="R23" s="109"/>
    </row>
    <row r="24" spans="1:18" s="90" customFormat="1" ht="15.95" customHeight="1">
      <c r="A24" s="109"/>
      <c r="B24" s="458" t="s">
        <v>546</v>
      </c>
      <c r="C24" s="459"/>
      <c r="D24" s="459"/>
      <c r="E24" s="459"/>
      <c r="F24" s="313"/>
      <c r="G24" s="489" t="s">
        <v>555</v>
      </c>
      <c r="H24" s="140"/>
      <c r="I24" s="140"/>
      <c r="J24" s="140"/>
      <c r="K24" s="140"/>
      <c r="L24" s="454"/>
      <c r="M24" s="1053"/>
      <c r="N24" s="109"/>
      <c r="O24" s="109"/>
      <c r="P24" s="109"/>
      <c r="Q24" s="109"/>
      <c r="R24" s="109"/>
    </row>
    <row r="25" spans="1:18" s="90" customFormat="1" ht="15.95" customHeight="1">
      <c r="A25" s="109"/>
      <c r="B25" s="458" t="s">
        <v>547</v>
      </c>
      <c r="C25" s="459"/>
      <c r="D25" s="459"/>
      <c r="E25" s="459"/>
      <c r="F25" s="313"/>
      <c r="G25" s="489" t="s">
        <v>554</v>
      </c>
      <c r="H25" s="140"/>
      <c r="I25" s="140"/>
      <c r="J25" s="140"/>
      <c r="K25" s="140"/>
      <c r="L25" s="454"/>
      <c r="M25" s="1053"/>
      <c r="N25" s="109"/>
      <c r="O25" s="109"/>
      <c r="P25" s="109"/>
      <c r="Q25" s="109"/>
      <c r="R25" s="109"/>
    </row>
    <row r="26" spans="1:18" s="90" customFormat="1" ht="15.95" customHeight="1">
      <c r="A26" s="109"/>
      <c r="B26" s="1172" t="s">
        <v>523</v>
      </c>
      <c r="C26" s="1173"/>
      <c r="D26" s="1173"/>
      <c r="E26" s="1173"/>
      <c r="F26" s="1174"/>
      <c r="G26" s="490" t="s">
        <v>543</v>
      </c>
      <c r="H26" s="491"/>
      <c r="I26" s="140"/>
      <c r="J26" s="140"/>
      <c r="K26" s="140"/>
      <c r="L26" s="454"/>
      <c r="M26" s="1053"/>
      <c r="N26" s="362" t="s">
        <v>524</v>
      </c>
      <c r="O26" s="109"/>
      <c r="P26" s="109"/>
      <c r="Q26" s="109"/>
      <c r="R26" s="109"/>
    </row>
    <row r="27" spans="1:18" s="90" customFormat="1" ht="15.95" customHeight="1">
      <c r="A27" s="109"/>
      <c r="B27" s="1172" t="s">
        <v>257</v>
      </c>
      <c r="C27" s="1173"/>
      <c r="D27" s="1173"/>
      <c r="E27" s="1173"/>
      <c r="F27" s="1174"/>
      <c r="G27" s="492" t="s">
        <v>502</v>
      </c>
      <c r="H27" s="491"/>
      <c r="I27" s="140"/>
      <c r="J27" s="140"/>
      <c r="K27" s="140"/>
      <c r="L27" s="454"/>
      <c r="M27" s="1053"/>
      <c r="N27" s="109"/>
      <c r="O27" s="109"/>
      <c r="P27" s="109"/>
      <c r="Q27" s="109"/>
      <c r="R27" s="109"/>
    </row>
    <row r="28" spans="1:18" s="90" customFormat="1" ht="15.95" customHeight="1">
      <c r="A28" s="109"/>
      <c r="B28" s="1175" t="s">
        <v>457</v>
      </c>
      <c r="C28" s="1176"/>
      <c r="D28" s="1176"/>
      <c r="E28" s="1176"/>
      <c r="F28" s="1177"/>
      <c r="G28" s="492" t="s">
        <v>455</v>
      </c>
      <c r="H28" s="491"/>
      <c r="I28" s="140"/>
      <c r="J28" s="493"/>
      <c r="K28" s="140"/>
      <c r="L28" s="454"/>
      <c r="M28" s="1053"/>
      <c r="N28" s="146">
        <f ca="1">TODAY()</f>
        <v>44186</v>
      </c>
      <c r="O28" s="109"/>
      <c r="P28" s="109"/>
      <c r="Q28" s="109"/>
      <c r="R28" s="109"/>
    </row>
    <row r="29" spans="1:18" s="90" customFormat="1" ht="15.95" customHeight="1">
      <c r="A29" s="109"/>
      <c r="B29" s="1142" t="s">
        <v>295</v>
      </c>
      <c r="C29" s="1143"/>
      <c r="D29" s="1143"/>
      <c r="E29" s="1143"/>
      <c r="F29" s="1144"/>
      <c r="G29" s="494" t="s">
        <v>245</v>
      </c>
      <c r="H29" s="491"/>
      <c r="I29" s="140"/>
      <c r="J29" s="140"/>
      <c r="K29" s="140"/>
      <c r="L29" s="454"/>
      <c r="M29" s="1053"/>
      <c r="N29" s="147">
        <f>+F35*J35*J34*F34</f>
        <v>12000</v>
      </c>
      <c r="O29" s="109"/>
      <c r="P29" s="109"/>
      <c r="Q29" s="109"/>
      <c r="R29" s="109"/>
    </row>
    <row r="30" spans="1:18" s="90" customFormat="1" ht="15.95" customHeight="1">
      <c r="A30" s="109"/>
      <c r="B30" s="469" t="s">
        <v>596</v>
      </c>
      <c r="C30" s="314"/>
      <c r="D30" s="314"/>
      <c r="E30" s="314"/>
      <c r="F30" s="315"/>
      <c r="G30" s="490" t="s">
        <v>71</v>
      </c>
      <c r="H30" s="491"/>
      <c r="I30" s="140"/>
      <c r="J30" s="140"/>
      <c r="K30" s="140"/>
      <c r="L30" s="454"/>
      <c r="M30" s="1053"/>
      <c r="N30" s="148" t="str">
        <f>+G2</f>
        <v>MASALA / SPICES MAKING UNIT</v>
      </c>
      <c r="O30" s="109"/>
      <c r="P30" s="109"/>
      <c r="Q30" s="109"/>
      <c r="R30" s="109"/>
    </row>
    <row r="31" spans="1:18" s="90" customFormat="1" ht="15.95" customHeight="1">
      <c r="A31" s="109"/>
      <c r="B31" s="469" t="s">
        <v>504</v>
      </c>
      <c r="C31" s="314"/>
      <c r="D31" s="314"/>
      <c r="E31" s="314"/>
      <c r="F31" s="315"/>
      <c r="G31" s="494" t="s">
        <v>507</v>
      </c>
      <c r="H31" s="491"/>
      <c r="I31" s="140"/>
      <c r="J31" s="140"/>
      <c r="K31" s="140"/>
      <c r="L31" s="454"/>
      <c r="M31" s="1053"/>
      <c r="N31" s="149" t="str">
        <f>+G35</f>
        <v>Kgs</v>
      </c>
      <c r="O31" s="109"/>
      <c r="P31" s="109"/>
      <c r="Q31" s="109"/>
      <c r="R31" s="109"/>
    </row>
    <row r="32" spans="1:18" s="90" customFormat="1" ht="15.95" customHeight="1" thickBot="1">
      <c r="A32" s="109"/>
      <c r="B32" s="470" t="s">
        <v>506</v>
      </c>
      <c r="C32" s="471"/>
      <c r="D32" s="471"/>
      <c r="E32" s="471"/>
      <c r="F32" s="472"/>
      <c r="G32" s="495" t="s">
        <v>536</v>
      </c>
      <c r="H32" s="496"/>
      <c r="I32" s="456"/>
      <c r="J32" s="456"/>
      <c r="K32" s="456"/>
      <c r="L32" s="457"/>
      <c r="M32" s="1053"/>
      <c r="O32" s="109"/>
      <c r="P32" s="109"/>
      <c r="Q32" s="109"/>
      <c r="R32" s="109"/>
    </row>
    <row r="33" spans="1:18" s="90" customFormat="1" ht="15.95" customHeight="1" thickTop="1" thickBot="1">
      <c r="A33" s="109"/>
      <c r="B33" s="1180" t="s">
        <v>493</v>
      </c>
      <c r="C33" s="1181"/>
      <c r="D33" s="1181"/>
      <c r="E33" s="1181"/>
      <c r="F33" s="1181"/>
      <c r="G33" s="1181"/>
      <c r="H33" s="1181"/>
      <c r="I33" s="1181"/>
      <c r="J33" s="1182"/>
      <c r="K33" s="1181"/>
      <c r="L33" s="1183"/>
      <c r="M33" s="1053"/>
      <c r="O33" s="109"/>
      <c r="P33" s="109"/>
      <c r="Q33" s="109"/>
      <c r="R33" s="109"/>
    </row>
    <row r="34" spans="1:18" s="90" customFormat="1" ht="15.95" customHeight="1" thickTop="1">
      <c r="A34" s="109"/>
      <c r="B34" s="1152" t="s">
        <v>566</v>
      </c>
      <c r="C34" s="1153"/>
      <c r="D34" s="1153"/>
      <c r="E34" s="1153"/>
      <c r="F34" s="497">
        <v>300</v>
      </c>
      <c r="G34" s="557"/>
      <c r="H34" s="1152" t="s">
        <v>598</v>
      </c>
      <c r="I34" s="1178"/>
      <c r="J34" s="500">
        <v>8</v>
      </c>
      <c r="K34" s="502" t="s">
        <v>564</v>
      </c>
      <c r="L34" s="1029">
        <f>+F34*F35*J34*J35</f>
        <v>12000</v>
      </c>
      <c r="M34" s="1053"/>
      <c r="N34" s="109"/>
      <c r="O34" s="109"/>
    </row>
    <row r="35" spans="1:18" s="90" customFormat="1" ht="15.95" customHeight="1" thickBot="1">
      <c r="A35" s="109"/>
      <c r="B35" s="1150" t="s">
        <v>567</v>
      </c>
      <c r="C35" s="1151"/>
      <c r="D35" s="1151"/>
      <c r="E35" s="1151"/>
      <c r="F35" s="498">
        <v>5</v>
      </c>
      <c r="G35" s="499" t="s">
        <v>448</v>
      </c>
      <c r="H35" s="1150" t="s">
        <v>597</v>
      </c>
      <c r="I35" s="1179"/>
      <c r="J35" s="501">
        <v>1</v>
      </c>
      <c r="K35" s="503" t="s">
        <v>568</v>
      </c>
      <c r="L35" s="1030">
        <f>+Report!H148</f>
        <v>4320000</v>
      </c>
      <c r="M35" s="1053"/>
    </row>
    <row r="36" spans="1:18" s="90" customFormat="1" ht="15.95" customHeight="1" thickTop="1">
      <c r="A36" s="109"/>
      <c r="B36" s="1087" t="s">
        <v>95</v>
      </c>
      <c r="C36" s="1088"/>
      <c r="D36" s="1088"/>
      <c r="E36" s="1089"/>
      <c r="F36" s="527" t="s">
        <v>63</v>
      </c>
      <c r="G36" s="527" t="s">
        <v>64</v>
      </c>
      <c r="H36" s="527" t="s">
        <v>65</v>
      </c>
      <c r="I36" s="528" t="s">
        <v>66</v>
      </c>
      <c r="J36" s="528" t="s">
        <v>127</v>
      </c>
      <c r="K36" s="528" t="s">
        <v>128</v>
      </c>
      <c r="L36" s="529" t="s">
        <v>490</v>
      </c>
      <c r="M36" s="1053"/>
      <c r="N36" s="109"/>
    </row>
    <row r="37" spans="1:18" s="90" customFormat="1" ht="15.95" customHeight="1">
      <c r="B37" s="1090" t="s">
        <v>525</v>
      </c>
      <c r="C37" s="1091"/>
      <c r="D37" s="1091"/>
      <c r="E37" s="1092"/>
      <c r="F37" s="530" t="s">
        <v>76</v>
      </c>
      <c r="G37" s="530" t="s">
        <v>77</v>
      </c>
      <c r="H37" s="530" t="s">
        <v>79</v>
      </c>
      <c r="I37" s="530" t="s">
        <v>40</v>
      </c>
      <c r="J37" s="530" t="s">
        <v>41</v>
      </c>
      <c r="K37" s="530" t="s">
        <v>42</v>
      </c>
      <c r="L37" s="531" t="s">
        <v>43</v>
      </c>
      <c r="M37" s="1053"/>
      <c r="N37" s="109"/>
    </row>
    <row r="38" spans="1:18" s="90" customFormat="1" ht="15.95" customHeight="1">
      <c r="B38" s="1148" t="s">
        <v>68</v>
      </c>
      <c r="C38" s="1149"/>
      <c r="D38" s="1149"/>
      <c r="E38" s="1149"/>
      <c r="F38" s="532">
        <v>60</v>
      </c>
      <c r="G38" s="532">
        <v>70</v>
      </c>
      <c r="H38" s="532">
        <v>80</v>
      </c>
      <c r="I38" s="533">
        <v>90</v>
      </c>
      <c r="J38" s="530">
        <v>90</v>
      </c>
      <c r="K38" s="530">
        <v>90</v>
      </c>
      <c r="L38" s="531">
        <v>90</v>
      </c>
      <c r="M38" s="1053"/>
      <c r="N38" s="109"/>
    </row>
    <row r="39" spans="1:18" s="90" customFormat="1" ht="15.95" customHeight="1" thickBot="1">
      <c r="A39" s="473"/>
      <c r="B39" s="1084" t="s">
        <v>583</v>
      </c>
      <c r="C39" s="1085"/>
      <c r="D39" s="1085"/>
      <c r="E39" s="1086"/>
      <c r="F39" s="1031">
        <f>+$L$34*F38/100</f>
        <v>7200</v>
      </c>
      <c r="G39" s="1031">
        <f t="shared" ref="G39:L39" si="0">+$L$34*G38/100</f>
        <v>8400</v>
      </c>
      <c r="H39" s="1031">
        <f t="shared" si="0"/>
        <v>9600</v>
      </c>
      <c r="I39" s="1031">
        <f t="shared" si="0"/>
        <v>10800</v>
      </c>
      <c r="J39" s="1031">
        <f t="shared" si="0"/>
        <v>10800</v>
      </c>
      <c r="K39" s="1031">
        <f t="shared" si="0"/>
        <v>10800</v>
      </c>
      <c r="L39" s="1032">
        <f t="shared" si="0"/>
        <v>10800</v>
      </c>
      <c r="M39" s="1053"/>
      <c r="N39" s="109"/>
    </row>
    <row r="40" spans="1:18" s="90" customFormat="1" ht="15.95" customHeight="1" thickTop="1">
      <c r="A40" s="473"/>
      <c r="B40" s="539"/>
      <c r="C40" s="540"/>
      <c r="D40" s="540" t="s">
        <v>588</v>
      </c>
      <c r="E40" s="541"/>
      <c r="F40" s="762">
        <f>+Report!F302</f>
        <v>2592000</v>
      </c>
      <c r="G40" s="762">
        <f>+Report!G302</f>
        <v>3024000</v>
      </c>
      <c r="H40" s="762">
        <f ca="1">+Report!H302</f>
        <v>3476161.0300000003</v>
      </c>
      <c r="I40" s="762">
        <f>+Report!I302</f>
        <v>3888000</v>
      </c>
      <c r="J40" s="762">
        <f>+Report!J302</f>
        <v>3888000</v>
      </c>
      <c r="K40" s="762">
        <f>+Report!K302</f>
        <v>3888000</v>
      </c>
      <c r="L40" s="762">
        <f>+Report!L302</f>
        <v>3888000</v>
      </c>
      <c r="M40" s="1053"/>
      <c r="N40" s="109"/>
    </row>
    <row r="41" spans="1:18" s="90" customFormat="1" ht="15.95" customHeight="1">
      <c r="A41" s="473"/>
      <c r="B41" s="539"/>
      <c r="C41" s="540"/>
      <c r="D41" s="540" t="s">
        <v>600</v>
      </c>
      <c r="E41" s="541"/>
      <c r="F41" s="763">
        <f>+Report!F317</f>
        <v>25515</v>
      </c>
      <c r="G41" s="763">
        <f ca="1">+Report!G317</f>
        <v>95289</v>
      </c>
      <c r="H41" s="763">
        <f ca="1">+Report!H317</f>
        <v>187854.75425000058</v>
      </c>
      <c r="I41" s="763">
        <f ca="1">+Report!I317</f>
        <v>248655.25</v>
      </c>
      <c r="J41" s="763">
        <f ca="1">+Report!J317</f>
        <v>260175.25</v>
      </c>
      <c r="K41" s="763">
        <f ca="1">+Report!K317</f>
        <v>268815.25</v>
      </c>
      <c r="L41" s="763">
        <f ca="1">+Report!L317</f>
        <v>269295.25</v>
      </c>
      <c r="M41" s="1053"/>
      <c r="N41" s="109"/>
    </row>
    <row r="42" spans="1:18" s="90" customFormat="1" ht="15.95" customHeight="1">
      <c r="A42" s="473"/>
      <c r="B42" s="539"/>
      <c r="C42" s="540"/>
      <c r="D42" s="540" t="s">
        <v>599</v>
      </c>
      <c r="E42" s="541"/>
      <c r="F42" s="762">
        <f>+Report!F348</f>
        <v>10503.5</v>
      </c>
      <c r="G42" s="762">
        <f ca="1">+Report!G348</f>
        <v>45882.5</v>
      </c>
      <c r="H42" s="762">
        <f ca="1">+Report!H348</f>
        <v>155634.53247500048</v>
      </c>
      <c r="I42" s="762">
        <f ca="1">+Report!I348</f>
        <v>319671.50382500049</v>
      </c>
      <c r="J42" s="762">
        <f ca="1">+Report!J348</f>
        <v>517829.22882500046</v>
      </c>
      <c r="K42" s="762">
        <f ca="1">+Report!K348</f>
        <v>795762.95382500044</v>
      </c>
      <c r="L42" s="762">
        <f ca="1">+Report!L348</f>
        <v>1098128.6788250003</v>
      </c>
      <c r="M42" s="1053"/>
      <c r="N42" s="109"/>
    </row>
    <row r="43" spans="1:18" s="90" customFormat="1" ht="15.95" customHeight="1" thickBot="1">
      <c r="A43" s="473"/>
      <c r="B43" s="539"/>
      <c r="C43" s="540"/>
      <c r="D43" s="540"/>
      <c r="E43" s="541"/>
      <c r="F43" s="762">
        <f>+Report!F349-Report!F339</f>
        <v>0</v>
      </c>
      <c r="G43" s="762">
        <f ca="1">+Report!G349-Report!G339</f>
        <v>0</v>
      </c>
      <c r="H43" s="762">
        <f ca="1">+Report!H349-Report!H339</f>
        <v>0</v>
      </c>
      <c r="I43" s="762">
        <f ca="1">+Report!I349-Report!I339</f>
        <v>0</v>
      </c>
      <c r="J43" s="762">
        <f ca="1">+Report!J349-Report!J339</f>
        <v>0</v>
      </c>
      <c r="K43" s="762">
        <f ca="1">+Report!K349-Report!K339</f>
        <v>0</v>
      </c>
      <c r="L43" s="762">
        <f ca="1">+Report!L349-Report!L339</f>
        <v>0</v>
      </c>
      <c r="M43" s="1053"/>
      <c r="N43" s="109"/>
    </row>
    <row r="44" spans="1:18" s="90" customFormat="1" ht="15.95" customHeight="1" thickTop="1">
      <c r="A44" s="475"/>
      <c r="B44" s="1079" t="s">
        <v>491</v>
      </c>
      <c r="C44" s="1080"/>
      <c r="D44" s="1080"/>
      <c r="E44" s="1080"/>
      <c r="F44" s="1080"/>
      <c r="G44" s="1080"/>
      <c r="H44" s="1080"/>
      <c r="I44" s="1080"/>
      <c r="J44" s="1080"/>
      <c r="K44" s="1080"/>
      <c r="L44" s="1081"/>
      <c r="M44" s="1053"/>
      <c r="N44" s="109"/>
    </row>
    <row r="45" spans="1:18" s="90" customFormat="1" ht="15.95" customHeight="1">
      <c r="A45" s="473"/>
      <c r="B45" s="317" t="s">
        <v>458</v>
      </c>
      <c r="C45" s="114" t="s">
        <v>69</v>
      </c>
      <c r="D45" s="1100" t="s">
        <v>459</v>
      </c>
      <c r="E45" s="1100"/>
      <c r="F45" s="1100"/>
      <c r="G45" s="121" t="s">
        <v>460</v>
      </c>
      <c r="H45" s="116"/>
      <c r="I45" s="114" t="s">
        <v>130</v>
      </c>
      <c r="J45" s="1100" t="s">
        <v>461</v>
      </c>
      <c r="K45" s="1100"/>
      <c r="L45" s="1101"/>
      <c r="M45" s="1053"/>
      <c r="N45" s="109"/>
    </row>
    <row r="46" spans="1:18" s="90" customFormat="1" ht="15.95" customHeight="1">
      <c r="B46" s="318" t="s">
        <v>90</v>
      </c>
      <c r="C46" s="287">
        <v>30</v>
      </c>
      <c r="D46" s="1082" t="s">
        <v>514</v>
      </c>
      <c r="E46" s="1082"/>
      <c r="F46" s="1082"/>
      <c r="G46" s="1039">
        <v>4500</v>
      </c>
      <c r="H46" s="288" t="s">
        <v>448</v>
      </c>
      <c r="I46" s="1035">
        <v>240</v>
      </c>
      <c r="J46" s="1096" t="s">
        <v>517</v>
      </c>
      <c r="K46" s="1096"/>
      <c r="L46" s="1097"/>
      <c r="M46" s="1053"/>
    </row>
    <row r="47" spans="1:18" s="90" customFormat="1" ht="15.95" customHeight="1">
      <c r="B47" s="318" t="s">
        <v>91</v>
      </c>
      <c r="C47" s="287">
        <v>20</v>
      </c>
      <c r="D47" s="1082" t="s">
        <v>515</v>
      </c>
      <c r="E47" s="1082"/>
      <c r="F47" s="1082"/>
      <c r="G47" s="1039">
        <f>+C47*$N$29/100</f>
        <v>2400</v>
      </c>
      <c r="H47" s="288" t="s">
        <v>590</v>
      </c>
      <c r="I47" s="1035">
        <v>350</v>
      </c>
      <c r="J47" s="1096" t="str">
        <f>+J46</f>
        <v>Used in making food items / curries</v>
      </c>
      <c r="K47" s="1096"/>
      <c r="L47" s="1097"/>
      <c r="M47" s="1053"/>
      <c r="N47" s="579" t="s">
        <v>527</v>
      </c>
      <c r="O47" s="580">
        <f ca="1">+O75</f>
        <v>67.29934728628298</v>
      </c>
    </row>
    <row r="48" spans="1:18" s="90" customFormat="1" ht="15.95" customHeight="1">
      <c r="B48" s="318" t="s">
        <v>447</v>
      </c>
      <c r="C48" s="287">
        <v>15</v>
      </c>
      <c r="D48" s="1082" t="s">
        <v>516</v>
      </c>
      <c r="E48" s="1082"/>
      <c r="F48" s="1082"/>
      <c r="G48" s="1039">
        <f>+C48*$N$29/100</f>
        <v>1800</v>
      </c>
      <c r="H48" s="288" t="s">
        <v>591</v>
      </c>
      <c r="I48" s="1035">
        <v>400</v>
      </c>
      <c r="J48" s="1096" t="str">
        <f>+J46</f>
        <v>Used in making food items / curries</v>
      </c>
      <c r="K48" s="1096"/>
      <c r="L48" s="1097"/>
      <c r="M48" s="1053"/>
      <c r="N48" s="579" t="s">
        <v>98</v>
      </c>
      <c r="O48" s="580">
        <f ca="1">+O76</f>
        <v>2.374420249892323</v>
      </c>
    </row>
    <row r="49" spans="1:16" s="90" customFormat="1" ht="15.95" customHeight="1" thickBot="1">
      <c r="A49" s="473"/>
      <c r="B49" s="319" t="s">
        <v>324</v>
      </c>
      <c r="C49" s="320">
        <v>25</v>
      </c>
      <c r="D49" s="1083" t="s">
        <v>589</v>
      </c>
      <c r="E49" s="1083"/>
      <c r="F49" s="1083"/>
      <c r="G49" s="1040">
        <f>+C49*$N$29/100</f>
        <v>3000</v>
      </c>
      <c r="H49" s="321" t="s">
        <v>592</v>
      </c>
      <c r="I49" s="1036">
        <v>560</v>
      </c>
      <c r="J49" s="1098" t="str">
        <f>+J46</f>
        <v>Used in making food items / curries</v>
      </c>
      <c r="K49" s="1098"/>
      <c r="L49" s="1099"/>
      <c r="M49" s="1053"/>
      <c r="N49" s="109"/>
    </row>
    <row r="50" spans="1:16" s="90" customFormat="1" ht="15.95" customHeight="1" thickTop="1">
      <c r="A50" s="474"/>
      <c r="B50" s="1093" t="s">
        <v>466</v>
      </c>
      <c r="C50" s="1094"/>
      <c r="D50" s="1094"/>
      <c r="E50" s="1094"/>
      <c r="F50" s="1094"/>
      <c r="G50" s="1094"/>
      <c r="H50" s="1094"/>
      <c r="I50" s="1094"/>
      <c r="J50" s="1094"/>
      <c r="K50" s="1094"/>
      <c r="L50" s="1095"/>
      <c r="M50" s="1053"/>
      <c r="N50" s="109"/>
    </row>
    <row r="51" spans="1:16" s="90" customFormat="1" ht="15.95" customHeight="1">
      <c r="A51" s="473"/>
      <c r="B51" s="449" t="s">
        <v>72</v>
      </c>
      <c r="C51" s="450"/>
      <c r="D51" s="450"/>
      <c r="E51" s="451"/>
      <c r="F51" s="451"/>
      <c r="G51" s="452" t="s">
        <v>462</v>
      </c>
      <c r="H51" s="452" t="s">
        <v>463</v>
      </c>
      <c r="I51" s="452" t="s">
        <v>464</v>
      </c>
      <c r="J51" s="453" t="s">
        <v>465</v>
      </c>
      <c r="K51" s="1123" t="s">
        <v>467</v>
      </c>
      <c r="L51" s="1124"/>
      <c r="M51" s="1053"/>
      <c r="N51" s="109"/>
    </row>
    <row r="52" spans="1:16" s="90" customFormat="1" ht="15.95" customHeight="1">
      <c r="B52" s="322">
        <v>1</v>
      </c>
      <c r="C52" s="1082" t="s">
        <v>520</v>
      </c>
      <c r="D52" s="1082"/>
      <c r="E52" s="1082"/>
      <c r="F52" s="1082"/>
      <c r="G52" s="1033">
        <f>+$N$29*C46/100</f>
        <v>3600</v>
      </c>
      <c r="H52" s="289" t="s">
        <v>448</v>
      </c>
      <c r="I52" s="1037">
        <v>200</v>
      </c>
      <c r="J52" s="1041" t="s">
        <v>615</v>
      </c>
      <c r="K52" s="1042"/>
      <c r="L52" s="1043"/>
      <c r="M52" s="1053"/>
    </row>
    <row r="53" spans="1:16" s="90" customFormat="1" ht="15.95" customHeight="1">
      <c r="B53" s="322">
        <v>2</v>
      </c>
      <c r="C53" s="1082" t="s">
        <v>518</v>
      </c>
      <c r="D53" s="1082"/>
      <c r="E53" s="1082"/>
      <c r="F53" s="1082"/>
      <c r="G53" s="1033">
        <f>+$N$29*C47/100</f>
        <v>2400</v>
      </c>
      <c r="H53" s="289" t="s">
        <v>448</v>
      </c>
      <c r="I53" s="1037">
        <v>225</v>
      </c>
      <c r="J53" s="1041" t="s">
        <v>616</v>
      </c>
      <c r="K53" s="1042"/>
      <c r="L53" s="1043"/>
      <c r="M53" s="1053"/>
    </row>
    <row r="54" spans="1:16" s="90" customFormat="1" ht="15.95" customHeight="1">
      <c r="B54" s="322">
        <v>3</v>
      </c>
      <c r="C54" s="1082" t="s">
        <v>519</v>
      </c>
      <c r="D54" s="1082"/>
      <c r="E54" s="1082"/>
      <c r="F54" s="1082"/>
      <c r="G54" s="1033">
        <f>+$N$29*C48/100</f>
        <v>1800</v>
      </c>
      <c r="H54" s="289" t="s">
        <v>448</v>
      </c>
      <c r="I54" s="1037">
        <v>250</v>
      </c>
      <c r="J54" s="1041" t="s">
        <v>617</v>
      </c>
      <c r="K54" s="1042"/>
      <c r="L54" s="1043"/>
      <c r="M54" s="1053"/>
    </row>
    <row r="55" spans="1:16" s="90" customFormat="1" ht="15.95" customHeight="1" thickBot="1">
      <c r="B55" s="323">
        <v>4</v>
      </c>
      <c r="C55" s="1083" t="s">
        <v>593</v>
      </c>
      <c r="D55" s="1083"/>
      <c r="E55" s="1083"/>
      <c r="F55" s="1083"/>
      <c r="G55" s="1034">
        <f>+$N$29*C49/100</f>
        <v>3000</v>
      </c>
      <c r="H55" s="324" t="s">
        <v>448</v>
      </c>
      <c r="I55" s="1038">
        <v>300</v>
      </c>
      <c r="J55" s="1044" t="s">
        <v>618</v>
      </c>
      <c r="K55" s="1045"/>
      <c r="L55" s="1046"/>
      <c r="M55" s="1053"/>
      <c r="N55" s="109"/>
    </row>
    <row r="56" spans="1:16" s="90" customFormat="1" ht="15.95" customHeight="1" thickTop="1">
      <c r="M56" s="1053"/>
    </row>
    <row r="57" spans="1:16" s="90" customFormat="1" ht="15.95" customHeight="1" thickBot="1">
      <c r="M57" s="1053"/>
    </row>
    <row r="58" spans="1:16" s="90" customFormat="1" ht="15.95" customHeight="1" thickTop="1">
      <c r="A58" s="138"/>
      <c r="B58" s="1184" t="s">
        <v>468</v>
      </c>
      <c r="C58" s="1185"/>
      <c r="D58" s="1185"/>
      <c r="E58" s="1185"/>
      <c r="F58" s="1185"/>
      <c r="G58" s="1185"/>
      <c r="H58" s="1185"/>
      <c r="I58" s="1186"/>
      <c r="J58" s="554" t="str">
        <f>+F36</f>
        <v>1st</v>
      </c>
      <c r="K58" s="555" t="str">
        <f t="shared" ref="K58:L58" si="1">+G36</f>
        <v>2nd</v>
      </c>
      <c r="L58" s="556" t="str">
        <f t="shared" si="1"/>
        <v>3rd</v>
      </c>
      <c r="M58" s="1053"/>
    </row>
    <row r="59" spans="1:16" s="90" customFormat="1" ht="15.95" customHeight="1">
      <c r="B59" s="1193" t="s">
        <v>639</v>
      </c>
      <c r="C59" s="1194"/>
      <c r="D59" s="1194"/>
      <c r="E59" s="1194"/>
      <c r="F59" s="1194"/>
      <c r="G59" s="1194"/>
      <c r="H59" s="289">
        <v>100</v>
      </c>
      <c r="I59" s="504" t="s">
        <v>26</v>
      </c>
      <c r="J59" s="542">
        <f>+Report!F305</f>
        <v>18000</v>
      </c>
      <c r="K59" s="543">
        <f>+Report!G305</f>
        <v>21000</v>
      </c>
      <c r="L59" s="544">
        <f>+Report!H305</f>
        <v>24000</v>
      </c>
      <c r="M59" s="1053"/>
    </row>
    <row r="60" spans="1:16" s="90" customFormat="1" ht="15.95" customHeight="1">
      <c r="B60" s="1195" t="s">
        <v>560</v>
      </c>
      <c r="C60" s="1196"/>
      <c r="D60" s="1196"/>
      <c r="E60" s="1196"/>
      <c r="F60" s="1196"/>
      <c r="G60" s="1196"/>
      <c r="H60" s="289">
        <v>10</v>
      </c>
      <c r="I60" s="505"/>
      <c r="J60" s="333"/>
      <c r="K60" s="116"/>
      <c r="L60" s="545"/>
      <c r="M60" s="1053"/>
    </row>
    <row r="61" spans="1:16" s="90" customFormat="1" ht="15.95" customHeight="1">
      <c r="B61" s="1195" t="s">
        <v>559</v>
      </c>
      <c r="C61" s="1196"/>
      <c r="D61" s="1196"/>
      <c r="E61" s="1196"/>
      <c r="F61" s="1196"/>
      <c r="G61" s="1196"/>
      <c r="H61" s="290">
        <v>7</v>
      </c>
      <c r="I61" s="505"/>
      <c r="J61" s="546">
        <f>+Report!F306</f>
        <v>80640</v>
      </c>
      <c r="K61" s="547">
        <f>+Report!G306</f>
        <v>94080</v>
      </c>
      <c r="L61" s="548">
        <f>+Report!H306</f>
        <v>107520</v>
      </c>
      <c r="M61" s="1053"/>
    </row>
    <row r="62" spans="1:16" s="90" customFormat="1" ht="15.95" customHeight="1">
      <c r="B62" s="1197" t="s">
        <v>469</v>
      </c>
      <c r="C62" s="1198"/>
      <c r="D62" s="1198"/>
      <c r="E62" s="1198"/>
      <c r="F62" s="1198"/>
      <c r="G62" s="1198"/>
      <c r="H62" s="290">
        <v>1</v>
      </c>
      <c r="I62" s="504" t="s">
        <v>74</v>
      </c>
      <c r="J62" s="542">
        <f>+Report!F309</f>
        <v>31320</v>
      </c>
      <c r="K62" s="543">
        <f>+Report!G309</f>
        <v>36540</v>
      </c>
      <c r="L62" s="544">
        <f ca="1">+Report!H309</f>
        <v>41961.6103</v>
      </c>
      <c r="M62" s="1053"/>
      <c r="N62" s="358"/>
      <c r="O62" s="6"/>
      <c r="P62" s="478"/>
    </row>
    <row r="63" spans="1:16" s="90" customFormat="1" ht="15.95" customHeight="1">
      <c r="B63" s="1197" t="s">
        <v>470</v>
      </c>
      <c r="C63" s="1198"/>
      <c r="D63" s="1198"/>
      <c r="E63" s="1198"/>
      <c r="F63" s="1198"/>
      <c r="G63" s="1198"/>
      <c r="H63" s="291">
        <v>1</v>
      </c>
      <c r="I63" s="504" t="s">
        <v>234</v>
      </c>
      <c r="J63" s="549"/>
      <c r="K63" s="121"/>
      <c r="L63" s="550"/>
      <c r="M63" s="1053"/>
      <c r="N63" s="479">
        <f>ROUND(+H60*0.75,0)</f>
        <v>8</v>
      </c>
      <c r="O63" s="6"/>
      <c r="P63" s="6"/>
    </row>
    <row r="64" spans="1:16" s="90" customFormat="1" ht="15.95" customHeight="1">
      <c r="B64" s="1197" t="s">
        <v>471</v>
      </c>
      <c r="C64" s="1198"/>
      <c r="D64" s="1198"/>
      <c r="E64" s="1198"/>
      <c r="F64" s="1198"/>
      <c r="G64" s="1198"/>
      <c r="H64" s="291">
        <v>1.5</v>
      </c>
      <c r="I64" s="504" t="s">
        <v>6</v>
      </c>
      <c r="J64" s="549"/>
      <c r="K64" s="121"/>
      <c r="L64" s="550"/>
      <c r="M64" s="1053"/>
      <c r="N64" s="358"/>
      <c r="O64" s="6"/>
      <c r="P64" s="6"/>
    </row>
    <row r="65" spans="2:18" s="90" customFormat="1" ht="15.95" customHeight="1">
      <c r="B65" s="1197" t="s">
        <v>472</v>
      </c>
      <c r="C65" s="1198"/>
      <c r="D65" s="1198"/>
      <c r="E65" s="1198"/>
      <c r="F65" s="1198"/>
      <c r="G65" s="119">
        <v>5</v>
      </c>
      <c r="H65" s="283">
        <v>10</v>
      </c>
      <c r="I65" s="506">
        <v>15</v>
      </c>
      <c r="J65" s="542">
        <f>+Report!F310</f>
        <v>60000</v>
      </c>
      <c r="K65" s="543">
        <f>+Report!G310</f>
        <v>60000</v>
      </c>
      <c r="L65" s="544">
        <f>+Report!H310</f>
        <v>60000</v>
      </c>
      <c r="M65" s="1053"/>
      <c r="N65" s="358"/>
      <c r="O65" s="6"/>
      <c r="P65" s="6"/>
      <c r="Q65" s="6"/>
      <c r="R65" s="109"/>
    </row>
    <row r="66" spans="2:18" s="90" customFormat="1" ht="15.95" customHeight="1">
      <c r="B66" s="1197" t="s">
        <v>480</v>
      </c>
      <c r="C66" s="1198"/>
      <c r="D66" s="1198"/>
      <c r="E66" s="1198"/>
      <c r="F66" s="1198"/>
      <c r="G66" s="1198"/>
      <c r="H66" s="292">
        <v>8000</v>
      </c>
      <c r="I66" s="507" t="s">
        <v>571</v>
      </c>
      <c r="J66" s="542">
        <f>+Report!F315</f>
        <v>96000</v>
      </c>
      <c r="K66" s="543">
        <f>+Report!G315</f>
        <v>96000</v>
      </c>
      <c r="L66" s="544">
        <f>+Report!H315</f>
        <v>96000</v>
      </c>
      <c r="M66" s="1053"/>
      <c r="N66" s="358"/>
      <c r="O66" s="6"/>
      <c r="P66" s="6"/>
      <c r="Q66" s="6"/>
      <c r="R66" s="109"/>
    </row>
    <row r="67" spans="2:18" s="90" customFormat="1" ht="15.95" customHeight="1">
      <c r="B67" s="1197" t="s">
        <v>473</v>
      </c>
      <c r="C67" s="1198"/>
      <c r="D67" s="1198"/>
      <c r="E67" s="1198"/>
      <c r="F67" s="1198"/>
      <c r="G67" s="1198"/>
      <c r="H67" s="291">
        <v>0.5</v>
      </c>
      <c r="I67" s="504" t="s">
        <v>75</v>
      </c>
      <c r="J67" s="542">
        <f>+Report!F316</f>
        <v>12960</v>
      </c>
      <c r="K67" s="543">
        <f>+Report!G316</f>
        <v>15120</v>
      </c>
      <c r="L67" s="544">
        <f ca="1">+Report!H316</f>
        <v>17380.80515</v>
      </c>
      <c r="M67" s="1053"/>
      <c r="N67" s="358"/>
      <c r="O67" s="358"/>
      <c r="P67" s="358"/>
      <c r="Q67" s="109"/>
      <c r="R67" s="109"/>
    </row>
    <row r="68" spans="2:18" s="90" customFormat="1" ht="15.95" customHeight="1">
      <c r="B68" s="1197" t="s">
        <v>474</v>
      </c>
      <c r="C68" s="1198"/>
      <c r="D68" s="1198"/>
      <c r="E68" s="1198"/>
      <c r="F68" s="1198"/>
      <c r="G68" s="1198"/>
      <c r="H68" s="291">
        <v>1</v>
      </c>
      <c r="I68" s="504" t="s">
        <v>75</v>
      </c>
      <c r="J68" s="542">
        <f>+Report!F308</f>
        <v>25920</v>
      </c>
      <c r="K68" s="543">
        <f>+Report!G308</f>
        <v>30240</v>
      </c>
      <c r="L68" s="544">
        <f ca="1">+Report!H308</f>
        <v>34761.6103</v>
      </c>
      <c r="M68" s="1053"/>
      <c r="N68" s="109"/>
      <c r="O68" s="109"/>
      <c r="P68" s="109"/>
      <c r="Q68" s="109"/>
      <c r="R68" s="109"/>
    </row>
    <row r="69" spans="2:18" s="90" customFormat="1" ht="15.95" customHeight="1">
      <c r="B69" s="1197" t="s">
        <v>476</v>
      </c>
      <c r="C69" s="1198"/>
      <c r="D69" s="1198"/>
      <c r="E69" s="1198"/>
      <c r="F69" s="1168" t="s">
        <v>477</v>
      </c>
      <c r="G69" s="1168"/>
      <c r="H69" s="293">
        <v>5</v>
      </c>
      <c r="I69" s="508">
        <f>+H69*12</f>
        <v>60</v>
      </c>
      <c r="J69" s="549"/>
      <c r="K69" s="121"/>
      <c r="L69" s="550"/>
      <c r="M69" s="1053"/>
      <c r="N69" s="109"/>
      <c r="O69" s="109"/>
      <c r="P69" s="109"/>
      <c r="Q69" s="109"/>
      <c r="R69" s="109"/>
    </row>
    <row r="70" spans="2:18" s="90" customFormat="1" ht="15.95" customHeight="1">
      <c r="B70" s="1197" t="s">
        <v>78</v>
      </c>
      <c r="C70" s="1198"/>
      <c r="D70" s="1198"/>
      <c r="E70" s="1198"/>
      <c r="F70" s="1168" t="s">
        <v>478</v>
      </c>
      <c r="G70" s="1168"/>
      <c r="H70" s="293">
        <v>12</v>
      </c>
      <c r="I70" s="509"/>
      <c r="J70" s="542">
        <f>+Report!F313</f>
        <v>54720</v>
      </c>
      <c r="K70" s="543">
        <f>+Report!G313</f>
        <v>43680</v>
      </c>
      <c r="L70" s="544">
        <f>+Report!H313</f>
        <v>32160</v>
      </c>
      <c r="M70" s="1053"/>
      <c r="N70" s="109"/>
      <c r="O70" s="109"/>
      <c r="P70" s="109"/>
      <c r="Q70" s="109"/>
      <c r="R70" s="109"/>
    </row>
    <row r="71" spans="2:18" s="90" customFormat="1" ht="15.95" customHeight="1" thickBot="1">
      <c r="B71" s="1204" t="s">
        <v>479</v>
      </c>
      <c r="C71" s="1205"/>
      <c r="D71" s="1205"/>
      <c r="E71" s="1205"/>
      <c r="F71" s="1206" t="str">
        <f>+F70</f>
        <v>Rate of Interest</v>
      </c>
      <c r="G71" s="1206"/>
      <c r="H71" s="510">
        <v>11.5</v>
      </c>
      <c r="I71" s="511"/>
      <c r="J71" s="551">
        <f>+Report!F314</f>
        <v>56925</v>
      </c>
      <c r="K71" s="552">
        <f ca="1">+Report!G314</f>
        <v>68051</v>
      </c>
      <c r="L71" s="553">
        <f ca="1">+Report!H314</f>
        <v>76072.25</v>
      </c>
      <c r="M71" s="1053"/>
      <c r="N71" s="109"/>
      <c r="O71" s="109"/>
      <c r="P71" s="109"/>
      <c r="Q71" s="109"/>
      <c r="R71" s="109"/>
    </row>
    <row r="72" spans="2:18" s="90" customFormat="1" ht="15.95" customHeight="1" thickTop="1">
      <c r="B72" s="1201" t="s">
        <v>638</v>
      </c>
      <c r="C72" s="1202"/>
      <c r="D72" s="1202"/>
      <c r="E72" s="1202"/>
      <c r="F72" s="1202"/>
      <c r="G72" s="1202"/>
      <c r="H72" s="1202"/>
      <c r="I72" s="1203"/>
      <c r="J72" s="109"/>
      <c r="K72" s="109"/>
      <c r="L72" s="109"/>
      <c r="M72" s="1053"/>
      <c r="N72" s="109"/>
      <c r="O72" s="109"/>
      <c r="P72" s="109"/>
      <c r="Q72" s="109"/>
    </row>
    <row r="73" spans="2:18" s="90" customFormat="1" ht="15.95" customHeight="1">
      <c r="B73" s="1197"/>
      <c r="C73" s="1198"/>
      <c r="D73" s="1198"/>
      <c r="E73" s="1198"/>
      <c r="F73" s="1198"/>
      <c r="G73" s="1047" t="s">
        <v>80</v>
      </c>
      <c r="H73" s="1048" t="s">
        <v>81</v>
      </c>
      <c r="I73" s="1049" t="s">
        <v>82</v>
      </c>
      <c r="J73" s="109"/>
      <c r="K73" s="109"/>
      <c r="L73" s="109"/>
      <c r="M73" s="1053"/>
      <c r="N73" s="109"/>
      <c r="O73" s="109"/>
      <c r="P73" s="109"/>
      <c r="Q73" s="109"/>
    </row>
    <row r="74" spans="2:18" s="90" customFormat="1" ht="15.95" customHeight="1">
      <c r="B74" s="1166" t="s">
        <v>86</v>
      </c>
      <c r="C74" s="1167"/>
      <c r="D74" s="1167"/>
      <c r="E74" s="1167"/>
      <c r="F74" s="1167"/>
      <c r="G74" s="294" t="s">
        <v>449</v>
      </c>
      <c r="H74" s="295">
        <v>1</v>
      </c>
      <c r="I74" s="1043">
        <v>15000</v>
      </c>
      <c r="J74" s="1091" t="s">
        <v>556</v>
      </c>
      <c r="K74" s="1210"/>
      <c r="L74" s="575" t="s">
        <v>636</v>
      </c>
      <c r="M74" s="1053"/>
      <c r="P74" s="297"/>
      <c r="Q74" s="109"/>
    </row>
    <row r="75" spans="2:18" s="90" customFormat="1" ht="15.95" customHeight="1">
      <c r="B75" s="1166" t="s">
        <v>84</v>
      </c>
      <c r="C75" s="1167"/>
      <c r="D75" s="1167"/>
      <c r="E75" s="1167"/>
      <c r="F75" s="1167"/>
      <c r="G75" s="294" t="s">
        <v>85</v>
      </c>
      <c r="H75" s="295">
        <v>1</v>
      </c>
      <c r="I75" s="1043">
        <v>12000</v>
      </c>
      <c r="J75" s="1091" t="s">
        <v>556</v>
      </c>
      <c r="K75" s="1210"/>
      <c r="L75" s="1156" t="s">
        <v>637</v>
      </c>
      <c r="M75" s="1053"/>
      <c r="N75" s="579" t="s">
        <v>527</v>
      </c>
      <c r="O75" s="580">
        <f ca="1">+Report!H413</f>
        <v>67.29934728628298</v>
      </c>
      <c r="P75" s="109"/>
      <c r="Q75" s="109"/>
    </row>
    <row r="76" spans="2:18" s="90" customFormat="1" ht="15.95" customHeight="1">
      <c r="B76" s="1166" t="s">
        <v>87</v>
      </c>
      <c r="C76" s="1167"/>
      <c r="D76" s="1167"/>
      <c r="E76" s="1167"/>
      <c r="F76" s="1167"/>
      <c r="G76" s="294" t="s">
        <v>0</v>
      </c>
      <c r="H76" s="295">
        <v>1</v>
      </c>
      <c r="I76" s="1043">
        <v>500</v>
      </c>
      <c r="J76" s="1091" t="s">
        <v>557</v>
      </c>
      <c r="K76" s="1210"/>
      <c r="L76" s="1157"/>
      <c r="M76" s="1053"/>
      <c r="N76" s="579" t="s">
        <v>98</v>
      </c>
      <c r="O76" s="580">
        <f ca="1">+Report!F428</f>
        <v>2.374420249892323</v>
      </c>
      <c r="P76" s="109"/>
      <c r="Q76" s="109"/>
    </row>
    <row r="77" spans="2:18" s="90" customFormat="1" ht="15.95" customHeight="1">
      <c r="B77" s="1166" t="s">
        <v>88</v>
      </c>
      <c r="C77" s="1167"/>
      <c r="D77" s="1167"/>
      <c r="E77" s="1167"/>
      <c r="F77" s="1167"/>
      <c r="G77" s="294" t="s">
        <v>4</v>
      </c>
      <c r="H77" s="295">
        <v>1</v>
      </c>
      <c r="I77" s="1043">
        <v>300</v>
      </c>
      <c r="J77" s="1091" t="s">
        <v>557</v>
      </c>
      <c r="K77" s="1210"/>
      <c r="L77" s="1157"/>
      <c r="M77" s="1053"/>
      <c r="N77" s="109"/>
      <c r="O77" s="109"/>
      <c r="P77" s="109"/>
      <c r="Q77" s="109"/>
    </row>
    <row r="78" spans="2:18" s="90" customFormat="1" ht="15.95" customHeight="1" thickBot="1">
      <c r="B78" s="1199"/>
      <c r="C78" s="1200"/>
      <c r="D78" s="1200"/>
      <c r="E78" s="1200"/>
      <c r="F78" s="1200"/>
      <c r="G78" s="512" t="s">
        <v>137</v>
      </c>
      <c r="H78" s="513">
        <f>SUM(H74:H77)</f>
        <v>4</v>
      </c>
      <c r="I78" s="514"/>
      <c r="J78" s="109"/>
      <c r="K78" s="109"/>
      <c r="L78" s="109"/>
      <c r="M78" s="1053"/>
      <c r="N78" s="109"/>
      <c r="O78" s="109"/>
      <c r="P78" s="109"/>
      <c r="Q78" s="109"/>
    </row>
    <row r="79" spans="2:18" s="90" customFormat="1" ht="15.95" customHeight="1" thickTop="1">
      <c r="B79" s="1190" t="s">
        <v>481</v>
      </c>
      <c r="C79" s="1191"/>
      <c r="D79" s="1191"/>
      <c r="E79" s="1191"/>
      <c r="F79" s="1191"/>
      <c r="G79" s="1191"/>
      <c r="H79" s="1191"/>
      <c r="I79" s="1191"/>
      <c r="J79" s="1191"/>
      <c r="K79" s="1192"/>
      <c r="L79" s="109"/>
      <c r="M79" s="1053"/>
      <c r="N79" s="109"/>
      <c r="O79" s="109"/>
      <c r="P79" s="109"/>
      <c r="Q79" s="109"/>
      <c r="R79" s="109"/>
    </row>
    <row r="80" spans="2:18" s="90" customFormat="1" ht="15.95" customHeight="1">
      <c r="B80" s="1187" t="s">
        <v>634</v>
      </c>
      <c r="C80" s="1188"/>
      <c r="D80" s="1188"/>
      <c r="E80" s="1188"/>
      <c r="F80" s="1188"/>
      <c r="G80" s="1188"/>
      <c r="H80" s="1188"/>
      <c r="I80" s="1188"/>
      <c r="J80" s="1189"/>
      <c r="K80" s="326"/>
      <c r="L80" s="109"/>
      <c r="M80" s="1053"/>
      <c r="N80" s="109"/>
      <c r="O80" s="109"/>
      <c r="P80" s="109"/>
      <c r="Q80" s="109"/>
      <c r="R80" s="109"/>
    </row>
    <row r="81" spans="2:18" s="90" customFormat="1" ht="15.95" customHeight="1">
      <c r="B81" s="1223" t="s">
        <v>635</v>
      </c>
      <c r="C81" s="1224"/>
      <c r="D81" s="1224"/>
      <c r="E81" s="1224"/>
      <c r="F81" s="1224"/>
      <c r="G81" s="1224"/>
      <c r="H81" s="1224"/>
      <c r="I81" s="1224"/>
      <c r="J81" s="1225"/>
      <c r="K81" s="327"/>
      <c r="L81" s="109"/>
      <c r="M81" s="1053"/>
      <c r="N81" s="109"/>
      <c r="O81" s="109"/>
      <c r="P81" s="109"/>
      <c r="Q81" s="109"/>
      <c r="R81" s="109"/>
    </row>
    <row r="82" spans="2:18" s="90" customFormat="1" ht="15.95" customHeight="1">
      <c r="B82" s="1220" t="s">
        <v>495</v>
      </c>
      <c r="C82" s="1221"/>
      <c r="D82" s="1221"/>
      <c r="E82" s="1221"/>
      <c r="F82" s="1221"/>
      <c r="G82" s="1221"/>
      <c r="H82" s="1221"/>
      <c r="I82" s="1221"/>
      <c r="J82" s="1222"/>
      <c r="K82" s="328"/>
      <c r="L82" s="109"/>
      <c r="M82" s="1053"/>
      <c r="N82" s="109"/>
      <c r="O82" s="109"/>
      <c r="P82" s="109"/>
      <c r="Q82" s="109"/>
      <c r="R82" s="109"/>
    </row>
    <row r="83" spans="2:18" s="90" customFormat="1" ht="15.95" customHeight="1">
      <c r="B83" s="350"/>
      <c r="C83" s="1219" t="s">
        <v>565</v>
      </c>
      <c r="D83" s="1219"/>
      <c r="E83" s="1219"/>
      <c r="F83" s="1219"/>
      <c r="G83" s="1219"/>
      <c r="H83" s="351" t="s">
        <v>482</v>
      </c>
      <c r="I83" s="352" t="s">
        <v>483</v>
      </c>
      <c r="J83" s="353" t="s">
        <v>484</v>
      </c>
      <c r="K83" s="348"/>
      <c r="L83" s="109"/>
      <c r="M83" s="1053"/>
      <c r="N83" s="109"/>
      <c r="O83" s="109"/>
      <c r="P83" s="109"/>
      <c r="Q83" s="109"/>
      <c r="R83" s="109"/>
    </row>
    <row r="84" spans="2:18" s="90" customFormat="1" ht="15.95" customHeight="1">
      <c r="B84" s="519">
        <v>1</v>
      </c>
      <c r="C84" s="1501" t="s">
        <v>603</v>
      </c>
      <c r="D84" s="1502"/>
      <c r="E84" s="1502"/>
      <c r="F84" s="1502"/>
      <c r="G84" s="1503"/>
      <c r="H84" s="139"/>
      <c r="I84" s="116"/>
      <c r="J84" s="354">
        <v>500000</v>
      </c>
      <c r="K84" s="349"/>
      <c r="L84" s="109"/>
      <c r="M84" s="1053"/>
      <c r="N84" s="109"/>
      <c r="O84" s="109"/>
      <c r="P84" s="109"/>
      <c r="Q84" s="109"/>
      <c r="R84" s="109"/>
    </row>
    <row r="85" spans="2:18" s="90" customFormat="1" ht="15.95" customHeight="1">
      <c r="B85" s="519">
        <v>2</v>
      </c>
      <c r="C85" s="1501" t="s">
        <v>528</v>
      </c>
      <c r="D85" s="1502"/>
      <c r="E85" s="1502"/>
      <c r="F85" s="1502"/>
      <c r="G85" s="1503"/>
      <c r="H85" s="139"/>
      <c r="I85" s="116"/>
      <c r="J85" s="354">
        <v>50000</v>
      </c>
      <c r="K85" s="349"/>
      <c r="L85" s="109"/>
      <c r="M85" s="1053"/>
      <c r="N85" s="109"/>
      <c r="O85" s="109"/>
      <c r="P85" s="109"/>
      <c r="Q85" s="109"/>
      <c r="R85" s="109"/>
    </row>
    <row r="86" spans="2:18" s="90" customFormat="1" ht="15.95" customHeight="1">
      <c r="B86" s="519">
        <v>3</v>
      </c>
      <c r="C86" s="1501" t="s">
        <v>529</v>
      </c>
      <c r="D86" s="1502"/>
      <c r="E86" s="1502"/>
      <c r="F86" s="1502"/>
      <c r="G86" s="1503"/>
      <c r="H86" s="139"/>
      <c r="I86" s="116"/>
      <c r="J86" s="354">
        <v>50000</v>
      </c>
      <c r="K86" s="349"/>
      <c r="L86" s="109"/>
      <c r="M86" s="1053"/>
      <c r="N86" s="109"/>
      <c r="O86" s="109"/>
      <c r="P86" s="109"/>
      <c r="Q86" s="109"/>
      <c r="R86" s="109"/>
    </row>
    <row r="87" spans="2:18" s="90" customFormat="1" ht="15.95" customHeight="1">
      <c r="B87" s="519">
        <v>4</v>
      </c>
      <c r="C87" s="1501"/>
      <c r="D87" s="1502"/>
      <c r="E87" s="1502"/>
      <c r="F87" s="1502"/>
      <c r="G87" s="1503"/>
      <c r="H87" s="139"/>
      <c r="I87" s="116"/>
      <c r="J87" s="354"/>
      <c r="K87" s="349"/>
      <c r="L87" s="109"/>
      <c r="M87" s="1053"/>
      <c r="N87" s="109"/>
      <c r="O87" s="109"/>
      <c r="P87" s="109"/>
      <c r="Q87" s="109"/>
      <c r="R87" s="109"/>
    </row>
    <row r="88" spans="2:18" s="90" customFormat="1" ht="15.95" customHeight="1">
      <c r="B88" s="519">
        <v>5</v>
      </c>
      <c r="C88" s="1501"/>
      <c r="D88" s="1502"/>
      <c r="E88" s="1502"/>
      <c r="F88" s="1502"/>
      <c r="G88" s="1503"/>
      <c r="H88" s="139"/>
      <c r="I88" s="116"/>
      <c r="J88" s="354"/>
      <c r="K88" s="349"/>
      <c r="L88" s="109"/>
      <c r="M88" s="1053"/>
      <c r="N88" s="109"/>
      <c r="O88" s="109"/>
      <c r="P88" s="109"/>
      <c r="Q88" s="109"/>
      <c r="R88" s="109"/>
    </row>
    <row r="89" spans="2:18" s="90" customFormat="1" ht="15.95" customHeight="1">
      <c r="B89" s="519">
        <v>6</v>
      </c>
      <c r="C89" s="1501"/>
      <c r="D89" s="1502"/>
      <c r="E89" s="1502"/>
      <c r="F89" s="1502"/>
      <c r="G89" s="1503"/>
      <c r="H89" s="139"/>
      <c r="I89" s="116"/>
      <c r="J89" s="354"/>
      <c r="K89" s="349"/>
      <c r="L89" s="109"/>
      <c r="M89" s="1053"/>
      <c r="N89" s="109"/>
      <c r="O89" s="109"/>
      <c r="P89" s="109"/>
      <c r="Q89" s="109"/>
      <c r="R89" s="109"/>
    </row>
    <row r="90" spans="2:18" s="90" customFormat="1" ht="15.95" customHeight="1">
      <c r="B90" s="519">
        <v>7</v>
      </c>
      <c r="C90" s="1501"/>
      <c r="D90" s="1502"/>
      <c r="E90" s="1502"/>
      <c r="F90" s="1502"/>
      <c r="G90" s="1503"/>
      <c r="H90" s="139"/>
      <c r="I90" s="116"/>
      <c r="J90" s="354"/>
      <c r="K90" s="349"/>
      <c r="L90" s="109"/>
      <c r="M90" s="1053"/>
      <c r="N90" s="109"/>
      <c r="O90" s="109"/>
      <c r="P90" s="109"/>
      <c r="Q90" s="109"/>
      <c r="R90" s="109"/>
    </row>
    <row r="91" spans="2:18" s="90" customFormat="1" ht="15.95" customHeight="1">
      <c r="B91" s="325"/>
      <c r="C91" s="1198"/>
      <c r="D91" s="1198"/>
      <c r="E91" s="1198"/>
      <c r="F91" s="1198"/>
      <c r="G91" s="1198"/>
      <c r="H91" s="1154" t="s">
        <v>604</v>
      </c>
      <c r="I91" s="1155"/>
      <c r="J91" s="355">
        <f>SUM(J84:J90)</f>
        <v>600000</v>
      </c>
      <c r="K91" s="760">
        <f>+J91</f>
        <v>600000</v>
      </c>
      <c r="L91" s="109"/>
      <c r="M91" s="1053"/>
      <c r="N91" s="109"/>
      <c r="O91" s="109"/>
      <c r="P91" s="109"/>
      <c r="Q91" s="109"/>
      <c r="R91" s="109"/>
    </row>
    <row r="92" spans="2:18" s="90" customFormat="1" ht="15.95" customHeight="1" thickBot="1">
      <c r="B92" s="332"/>
      <c r="C92" s="1504"/>
      <c r="D92" s="1504"/>
      <c r="E92" s="1504"/>
      <c r="F92" s="1504"/>
      <c r="G92" s="1504"/>
      <c r="H92" s="558" t="s">
        <v>605</v>
      </c>
      <c r="I92" s="559"/>
      <c r="J92" s="356"/>
      <c r="K92" s="761">
        <f>+K91+K81+K80</f>
        <v>600000</v>
      </c>
      <c r="L92" s="109"/>
      <c r="M92" s="1053"/>
      <c r="N92" s="109"/>
      <c r="O92" s="109"/>
      <c r="P92" s="109"/>
      <c r="Q92" s="109"/>
      <c r="R92" s="109"/>
    </row>
    <row r="93" spans="2:18" s="90" customFormat="1" ht="15.95" customHeight="1" thickTop="1">
      <c r="B93" s="1226" t="s">
        <v>254</v>
      </c>
      <c r="C93" s="1227"/>
      <c r="D93" s="1227"/>
      <c r="E93" s="1227"/>
      <c r="F93" s="1227"/>
      <c r="G93" s="1228"/>
      <c r="H93" s="515">
        <f>+F101</f>
        <v>566000</v>
      </c>
      <c r="I93" s="560"/>
      <c r="J93" s="569" t="s">
        <v>575</v>
      </c>
      <c r="K93" s="570">
        <f>+Report!I148</f>
        <v>2592000</v>
      </c>
      <c r="L93" s="109"/>
      <c r="M93" s="1053"/>
      <c r="N93" s="109"/>
      <c r="O93" s="109"/>
      <c r="P93" s="109"/>
      <c r="Q93" s="109"/>
      <c r="R93" s="109"/>
    </row>
    <row r="94" spans="2:18" s="90" customFormat="1" ht="15.95" customHeight="1">
      <c r="B94" s="333"/>
      <c r="C94" s="112"/>
      <c r="D94" s="112"/>
      <c r="E94" s="112"/>
      <c r="F94" s="112"/>
      <c r="G94" s="114"/>
      <c r="H94" s="334" t="s">
        <v>606</v>
      </c>
      <c r="I94" s="561"/>
      <c r="J94" s="565" t="s">
        <v>586</v>
      </c>
      <c r="K94" s="567">
        <f>+K93*0.25</f>
        <v>648000</v>
      </c>
      <c r="L94" s="109"/>
      <c r="M94" s="1053"/>
      <c r="N94" s="109"/>
      <c r="O94" s="109"/>
      <c r="P94" s="109"/>
      <c r="Q94" s="109"/>
      <c r="R94" s="109"/>
    </row>
    <row r="95" spans="2:18" s="90" customFormat="1" ht="15.95" customHeight="1">
      <c r="B95" s="335" t="s">
        <v>530</v>
      </c>
      <c r="C95" s="112"/>
      <c r="D95" s="112"/>
      <c r="E95" s="112"/>
      <c r="F95" s="112"/>
      <c r="G95" s="284">
        <f>+Report!I380</f>
        <v>156600</v>
      </c>
      <c r="H95" s="289">
        <v>30</v>
      </c>
      <c r="I95" s="561"/>
      <c r="J95" s="566" t="s">
        <v>585</v>
      </c>
      <c r="K95" s="568">
        <f>+K94*20/25</f>
        <v>518400</v>
      </c>
      <c r="L95" s="109"/>
      <c r="M95" s="1053"/>
      <c r="N95" s="109"/>
      <c r="O95" s="109"/>
      <c r="P95" s="109"/>
      <c r="Q95" s="109"/>
      <c r="R95" s="109"/>
    </row>
    <row r="96" spans="2:18" s="90" customFormat="1" ht="15.95" customHeight="1" thickBot="1">
      <c r="B96" s="330" t="s">
        <v>534</v>
      </c>
      <c r="C96" s="112"/>
      <c r="D96" s="112"/>
      <c r="E96" s="112"/>
      <c r="F96" s="112"/>
      <c r="G96" s="284">
        <f>+Report!I381</f>
        <v>70560</v>
      </c>
      <c r="H96" s="289">
        <v>7</v>
      </c>
      <c r="I96" s="562"/>
      <c r="J96" s="571" t="s">
        <v>587</v>
      </c>
      <c r="K96" s="572">
        <f>+K94-K95</f>
        <v>129600</v>
      </c>
      <c r="L96" s="109"/>
      <c r="M96" s="1053"/>
      <c r="N96" s="109"/>
      <c r="O96" s="109"/>
      <c r="P96" s="109"/>
      <c r="Q96" s="109"/>
      <c r="R96" s="109"/>
    </row>
    <row r="97" spans="1:18" s="90" customFormat="1" ht="15.95" customHeight="1" thickTop="1">
      <c r="B97" s="330" t="s">
        <v>531</v>
      </c>
      <c r="C97" s="112"/>
      <c r="D97" s="112"/>
      <c r="E97" s="112"/>
      <c r="F97" s="112"/>
      <c r="G97" s="284">
        <f>+Report!I382</f>
        <v>116640</v>
      </c>
      <c r="H97" s="289">
        <v>15</v>
      </c>
      <c r="I97" s="142"/>
      <c r="J97" s="563"/>
      <c r="K97" s="564"/>
      <c r="L97" s="109"/>
      <c r="M97" s="1053"/>
      <c r="N97" s="109"/>
      <c r="O97" s="109"/>
      <c r="P97" s="109"/>
      <c r="Q97" s="109"/>
      <c r="R97" s="109"/>
    </row>
    <row r="98" spans="1:18" s="90" customFormat="1" ht="15.95" customHeight="1">
      <c r="B98" s="330" t="s">
        <v>532</v>
      </c>
      <c r="C98" s="112"/>
      <c r="D98" s="112"/>
      <c r="E98" s="112"/>
      <c r="F98" s="114"/>
      <c r="G98" s="284">
        <f>+Report!I383</f>
        <v>259200</v>
      </c>
      <c r="H98" s="289">
        <v>30</v>
      </c>
      <c r="I98" s="142"/>
      <c r="J98" s="143"/>
      <c r="K98" s="336"/>
      <c r="L98" s="109"/>
      <c r="M98" s="1053"/>
      <c r="N98" s="109"/>
      <c r="O98" s="109"/>
      <c r="P98" s="109"/>
      <c r="Q98" s="109"/>
      <c r="R98" s="109"/>
    </row>
    <row r="99" spans="1:18" s="90" customFormat="1" ht="15.95" customHeight="1">
      <c r="B99" s="337" t="s">
        <v>533</v>
      </c>
      <c r="C99" s="115"/>
      <c r="D99" s="115"/>
      <c r="E99" s="115"/>
      <c r="F99" s="115"/>
      <c r="G99" s="284">
        <f>+Report!I385</f>
        <v>36540</v>
      </c>
      <c r="H99" s="289">
        <v>7</v>
      </c>
      <c r="I99" s="113"/>
      <c r="J99" s="331"/>
      <c r="K99" s="329"/>
      <c r="L99" s="109"/>
      <c r="M99" s="1053"/>
      <c r="N99" s="109"/>
      <c r="O99" s="109"/>
      <c r="P99" s="109"/>
      <c r="Q99" s="109"/>
      <c r="R99" s="109"/>
    </row>
    <row r="100" spans="1:18" s="90" customFormat="1" ht="15.95" customHeight="1">
      <c r="B100" s="436" t="s">
        <v>50</v>
      </c>
      <c r="C100" s="299"/>
      <c r="D100" s="299"/>
      <c r="E100" s="299"/>
      <c r="F100" s="299"/>
      <c r="G100" s="309">
        <f>+Report!I387</f>
        <v>566000</v>
      </c>
      <c r="H100" s="516"/>
      <c r="I100" s="516">
        <f t="shared" ref="I100" si="2">SUM(I95:I99)</f>
        <v>0</v>
      </c>
      <c r="J100" s="516">
        <f>SUM(J95:J99)</f>
        <v>0</v>
      </c>
      <c r="K100" s="517"/>
      <c r="L100" s="55"/>
      <c r="M100" s="1053"/>
    </row>
    <row r="101" spans="1:18" s="90" customFormat="1" ht="15.95" customHeight="1" thickBot="1">
      <c r="B101" s="1050"/>
      <c r="C101" s="1051"/>
      <c r="D101" s="1051"/>
      <c r="E101" s="518"/>
      <c r="F101" s="338">
        <f>+G100</f>
        <v>566000</v>
      </c>
      <c r="G101" s="338">
        <f>+Report!I387</f>
        <v>566000</v>
      </c>
      <c r="H101" s="338">
        <f>+Report!J387</f>
        <v>660000</v>
      </c>
      <c r="I101" s="338">
        <f ca="1">+Report!K387</f>
        <v>756000</v>
      </c>
      <c r="J101" s="338">
        <f>+Report!L387</f>
        <v>849000</v>
      </c>
      <c r="K101" s="1052">
        <f>+J101</f>
        <v>849000</v>
      </c>
      <c r="L101" s="285">
        <f>+K101*K38/J38</f>
        <v>849000</v>
      </c>
      <c r="M101" s="1053"/>
    </row>
    <row r="102" spans="1:18" s="90" customFormat="1" ht="15.95" customHeight="1" thickTop="1">
      <c r="A102" s="91"/>
      <c r="B102" s="535"/>
      <c r="C102" s="536"/>
      <c r="D102" s="536"/>
      <c r="F102" s="122"/>
      <c r="M102" s="1053"/>
    </row>
    <row r="103" spans="1:18" s="90" customFormat="1" ht="15.95" customHeight="1" thickBot="1">
      <c r="A103" s="91"/>
      <c r="B103" s="535"/>
      <c r="C103" s="536"/>
      <c r="D103" s="536"/>
      <c r="G103" s="203"/>
      <c r="M103" s="1053"/>
    </row>
    <row r="104" spans="1:18" s="90" customFormat="1" ht="15.95" customHeight="1" thickTop="1">
      <c r="A104" s="91"/>
      <c r="B104" s="1216" t="s">
        <v>494</v>
      </c>
      <c r="C104" s="1217"/>
      <c r="D104" s="1217"/>
      <c r="E104" s="1217"/>
      <c r="F104" s="1217"/>
      <c r="G104" s="1217"/>
      <c r="H104" s="1217"/>
      <c r="I104" s="1217"/>
      <c r="J104" s="1217"/>
      <c r="K104" s="1218"/>
      <c r="L104" s="55"/>
      <c r="M104" s="1053"/>
    </row>
    <row r="105" spans="1:18" s="90" customFormat="1" ht="15.95" customHeight="1">
      <c r="B105" s="1214" t="s">
        <v>112</v>
      </c>
      <c r="C105" s="1215"/>
      <c r="D105" s="1215"/>
      <c r="E105" s="1215"/>
      <c r="F105" s="1215"/>
      <c r="G105" s="363" t="s">
        <v>526</v>
      </c>
      <c r="H105" s="1211" t="s">
        <v>488</v>
      </c>
      <c r="I105" s="1211"/>
      <c r="J105" s="1212" t="s">
        <v>489</v>
      </c>
      <c r="K105" s="1213"/>
      <c r="M105" s="1053"/>
      <c r="N105" s="203"/>
    </row>
    <row r="106" spans="1:18" s="90" customFormat="1" ht="15.95" customHeight="1">
      <c r="B106" s="1125" t="s">
        <v>485</v>
      </c>
      <c r="C106" s="1126"/>
      <c r="D106" s="1126"/>
      <c r="E106" s="1126"/>
      <c r="F106" s="116"/>
      <c r="G106" s="339">
        <f>+J92+K80+K81+J91</f>
        <v>600000</v>
      </c>
      <c r="H106" s="340">
        <v>20</v>
      </c>
      <c r="I106" s="339">
        <f>ROUND(+G106*H106/100,0)</f>
        <v>120000</v>
      </c>
      <c r="J106" s="341">
        <f>100-H106</f>
        <v>80</v>
      </c>
      <c r="K106" s="342">
        <f>+G106-I106</f>
        <v>480000</v>
      </c>
      <c r="M106" s="1053"/>
    </row>
    <row r="107" spans="1:18" s="90" customFormat="1" ht="15.95" customHeight="1">
      <c r="B107" s="1125" t="s">
        <v>486</v>
      </c>
      <c r="C107" s="1126"/>
      <c r="D107" s="1126"/>
      <c r="E107" s="1126"/>
      <c r="F107" s="116"/>
      <c r="G107" s="339">
        <f>+H93</f>
        <v>566000</v>
      </c>
      <c r="H107" s="343">
        <v>25</v>
      </c>
      <c r="I107" s="339">
        <f>ROUND(+G107*H107/100,0)</f>
        <v>141500</v>
      </c>
      <c r="J107" s="341">
        <f>100-H107</f>
        <v>75</v>
      </c>
      <c r="K107" s="342">
        <f>+G107-I107</f>
        <v>424500</v>
      </c>
      <c r="M107" s="1053"/>
      <c r="N107"/>
      <c r="O107"/>
    </row>
    <row r="108" spans="1:18" s="90" customFormat="1" ht="15.95" customHeight="1" thickBot="1">
      <c r="B108" s="1127" t="s">
        <v>487</v>
      </c>
      <c r="C108" s="1128"/>
      <c r="D108" s="1128"/>
      <c r="E108" s="1128"/>
      <c r="F108" s="344"/>
      <c r="G108" s="345">
        <f>SUM(G106:G107)</f>
        <v>1166000</v>
      </c>
      <c r="H108" s="344"/>
      <c r="I108" s="345">
        <f>SUM(I106:I107)</f>
        <v>261500</v>
      </c>
      <c r="J108" s="346"/>
      <c r="K108" s="347">
        <f>SUM(K106:K107)</f>
        <v>904500</v>
      </c>
      <c r="M108" s="1053"/>
    </row>
    <row r="109" spans="1:18" s="90" customFormat="1" ht="15.95" customHeight="1" thickTop="1">
      <c r="G109" s="286"/>
      <c r="H109" s="101"/>
      <c r="M109" s="1053"/>
    </row>
    <row r="110" spans="1:18" s="90" customFormat="1" ht="15.95" customHeight="1">
      <c r="B110" s="77" t="str">
        <f>CONCATENATE("Kindly Process the applicaton  under ",G21," and do needful.")</f>
        <v>Kindly Process the applicaton  under Mudra Scheme and do needful.</v>
      </c>
      <c r="M110" s="1053"/>
      <c r="N110" s="203">
        <f>+Report!M319</f>
        <v>0</v>
      </c>
    </row>
    <row r="111" spans="1:18" s="90" customFormat="1" ht="15.95" customHeight="1">
      <c r="H111" s="101"/>
      <c r="M111" s="1053"/>
    </row>
    <row r="112" spans="1:18" s="90" customFormat="1" ht="15.95" customHeight="1">
      <c r="H112" s="101"/>
      <c r="M112" s="1053"/>
    </row>
    <row r="113" spans="1:15" s="90" customFormat="1" ht="15.95" customHeight="1">
      <c r="E113" s="122"/>
      <c r="H113" s="101"/>
      <c r="M113" s="1053"/>
    </row>
    <row r="114" spans="1:15" s="90" customFormat="1" ht="15.95" customHeight="1">
      <c r="E114" s="122"/>
      <c r="H114" s="101"/>
      <c r="M114" s="1053"/>
    </row>
    <row r="115" spans="1:15" s="90" customFormat="1" ht="15.95" customHeight="1">
      <c r="E115" s="122"/>
      <c r="H115" s="101"/>
      <c r="M115" s="1053"/>
    </row>
    <row r="116" spans="1:15" s="90" customFormat="1" ht="15.95" customHeight="1">
      <c r="E116" s="122"/>
      <c r="H116" s="101"/>
      <c r="M116" s="1053"/>
    </row>
    <row r="117" spans="1:15" s="90" customFormat="1" ht="15.95" customHeight="1">
      <c r="E117" s="122"/>
      <c r="H117" s="101"/>
      <c r="M117" s="1053"/>
    </row>
    <row r="118" spans="1:15" s="90" customFormat="1" ht="15.95" customHeight="1">
      <c r="H118" s="101"/>
      <c r="M118" s="1053"/>
    </row>
    <row r="119" spans="1:15" s="90" customFormat="1" ht="15.95" customHeight="1">
      <c r="A119" s="144"/>
      <c r="B119" s="144"/>
      <c r="C119" s="144"/>
      <c r="D119" s="144"/>
      <c r="E119" s="144"/>
      <c r="F119" s="145" t="s">
        <v>540</v>
      </c>
      <c r="G119" s="145" t="s">
        <v>540</v>
      </c>
      <c r="H119" s="145" t="s">
        <v>540</v>
      </c>
      <c r="I119" s="145" t="s">
        <v>540</v>
      </c>
      <c r="J119" s="145" t="s">
        <v>540</v>
      </c>
      <c r="K119" s="144"/>
      <c r="L119" s="144"/>
      <c r="M119" s="1053"/>
    </row>
    <row r="120" spans="1:15" s="90" customFormat="1" ht="15.95" customHeight="1">
      <c r="A120" s="208"/>
      <c r="B120" s="208"/>
      <c r="C120" s="208"/>
      <c r="D120" s="208"/>
      <c r="E120" s="208"/>
      <c r="F120" s="208"/>
      <c r="G120" s="209" t="s">
        <v>545</v>
      </c>
      <c r="H120" s="210"/>
      <c r="I120" s="208"/>
      <c r="J120" s="208"/>
      <c r="K120" s="208"/>
      <c r="L120" s="208"/>
      <c r="M120" s="208"/>
      <c r="N120" s="208"/>
      <c r="O120" s="208"/>
    </row>
    <row r="121" spans="1:15" s="90" customFormat="1" ht="15.95" customHeight="1">
      <c r="A121" s="208"/>
      <c r="B121" s="208"/>
      <c r="C121" s="208"/>
      <c r="D121" s="208"/>
      <c r="E121" s="208"/>
      <c r="F121" s="208"/>
      <c r="G121" s="208"/>
      <c r="H121" s="210"/>
      <c r="I121" s="208"/>
      <c r="J121" s="208"/>
      <c r="K121" s="208"/>
      <c r="L121" s="208"/>
      <c r="M121" s="208"/>
      <c r="N121" s="208"/>
      <c r="O121" s="208"/>
    </row>
    <row r="122" spans="1:15" s="90" customFormat="1" ht="15.95" customHeight="1">
      <c r="A122" s="208"/>
      <c r="B122" s="117" t="s">
        <v>475</v>
      </c>
      <c r="C122" s="118"/>
      <c r="D122" s="118"/>
      <c r="E122" s="116"/>
      <c r="F122" s="116"/>
      <c r="G122" s="120"/>
      <c r="H122" s="293">
        <v>1.05</v>
      </c>
      <c r="I122" s="141"/>
      <c r="J122" s="110"/>
      <c r="K122" s="109"/>
      <c r="L122" s="109"/>
      <c r="M122" s="208"/>
      <c r="N122" s="208"/>
      <c r="O122" s="208"/>
    </row>
    <row r="123" spans="1:15" s="90" customFormat="1" ht="15.95" customHeight="1">
      <c r="A123" s="208"/>
      <c r="B123" s="1207" t="s">
        <v>83</v>
      </c>
      <c r="C123" s="1208"/>
      <c r="D123" s="1208"/>
      <c r="E123" s="1208"/>
      <c r="F123" s="1209"/>
      <c r="G123" s="573"/>
      <c r="H123" s="574"/>
      <c r="I123" s="578"/>
      <c r="J123" s="576" t="s">
        <v>556</v>
      </c>
      <c r="K123" s="577"/>
      <c r="L123" s="208"/>
      <c r="M123" s="208"/>
      <c r="N123" s="208"/>
      <c r="O123" s="208"/>
    </row>
    <row r="124" spans="1:15" s="90" customFormat="1" ht="15.95" customHeight="1">
      <c r="A124" s="208"/>
      <c r="B124" s="208"/>
      <c r="C124" s="208"/>
      <c r="D124" s="208"/>
      <c r="E124" s="208"/>
      <c r="F124" s="208"/>
      <c r="G124" s="208"/>
      <c r="H124" s="210"/>
      <c r="I124" s="208"/>
      <c r="J124" s="208"/>
      <c r="K124" s="208"/>
      <c r="L124" s="208"/>
      <c r="M124" s="208"/>
      <c r="N124" s="208"/>
      <c r="O124" s="208"/>
    </row>
    <row r="125" spans="1:15" s="90" customFormat="1" ht="15.95" customHeight="1">
      <c r="A125" s="150"/>
      <c r="B125" s="150"/>
      <c r="C125" s="150"/>
      <c r="D125" s="150"/>
      <c r="E125" s="150"/>
      <c r="F125" s="150"/>
      <c r="G125" s="150"/>
      <c r="H125" s="151"/>
      <c r="I125" s="150"/>
      <c r="J125" s="150"/>
      <c r="K125" s="150"/>
      <c r="L125" s="150"/>
      <c r="M125" s="208"/>
      <c r="N125" s="208"/>
      <c r="O125" s="208"/>
    </row>
    <row r="126" spans="1:15" s="90" customFormat="1" ht="15.95" customHeight="1">
      <c r="A126" s="150"/>
      <c r="B126" s="150"/>
      <c r="C126" s="150"/>
      <c r="D126" s="150"/>
      <c r="E126" s="150"/>
      <c r="F126" s="150"/>
      <c r="G126" s="150"/>
      <c r="H126" s="151"/>
      <c r="I126" s="150"/>
      <c r="J126" s="150"/>
      <c r="K126" s="150"/>
      <c r="L126" s="150"/>
      <c r="M126" s="208"/>
      <c r="N126" s="208"/>
      <c r="O126" s="208"/>
    </row>
    <row r="127" spans="1:15" s="90" customFormat="1" ht="15.95" customHeight="1">
      <c r="A127" s="150"/>
      <c r="B127" s="150"/>
      <c r="C127" s="150"/>
      <c r="D127" s="150"/>
      <c r="E127" s="150"/>
      <c r="F127" s="150"/>
      <c r="G127" s="150"/>
      <c r="H127" s="151"/>
      <c r="I127" s="150"/>
      <c r="J127" s="150"/>
      <c r="K127" s="150"/>
      <c r="L127" s="150"/>
      <c r="M127" s="208"/>
      <c r="N127" s="208"/>
      <c r="O127" s="208"/>
    </row>
    <row r="128" spans="1:15" s="90" customFormat="1" ht="15.95" customHeight="1">
      <c r="A128" s="150"/>
      <c r="B128" s="150"/>
      <c r="C128" s="150"/>
      <c r="D128" s="150"/>
      <c r="E128" s="150"/>
      <c r="F128" s="150" t="s">
        <v>497</v>
      </c>
      <c r="G128" s="150"/>
      <c r="H128" s="151"/>
      <c r="I128" s="150"/>
      <c r="J128" s="150"/>
      <c r="K128" s="150"/>
      <c r="L128" s="150"/>
      <c r="M128" s="208"/>
      <c r="N128" s="208"/>
      <c r="O128" s="208"/>
    </row>
    <row r="129" spans="1:15" s="90" customFormat="1" ht="15.95" customHeight="1">
      <c r="A129" s="150"/>
      <c r="B129" s="150"/>
      <c r="C129" s="150"/>
      <c r="D129" s="150"/>
      <c r="E129" s="150"/>
      <c r="F129" s="150"/>
      <c r="G129" s="150"/>
      <c r="H129" s="151"/>
      <c r="I129" s="150"/>
      <c r="J129" s="150"/>
      <c r="K129" s="150"/>
      <c r="L129" s="150"/>
      <c r="M129" s="208"/>
      <c r="N129" s="208"/>
      <c r="O129" s="208"/>
    </row>
    <row r="130" spans="1:15" s="90" customFormat="1" ht="15.95" customHeight="1">
      <c r="A130" s="150"/>
      <c r="B130" s="150"/>
      <c r="C130" s="150"/>
      <c r="D130" s="150" t="s">
        <v>496</v>
      </c>
      <c r="E130" s="150"/>
      <c r="F130" s="150"/>
      <c r="G130" s="150"/>
      <c r="H130" s="151"/>
      <c r="I130" s="150"/>
      <c r="J130" s="150"/>
      <c r="K130" s="150"/>
      <c r="L130" s="150"/>
      <c r="M130" s="208"/>
      <c r="N130" s="208"/>
      <c r="O130" s="208"/>
    </row>
    <row r="131" spans="1:15" s="90" customFormat="1" ht="15.95" customHeight="1">
      <c r="A131" s="150"/>
      <c r="B131" s="150" t="s">
        <v>498</v>
      </c>
      <c r="C131" s="150"/>
      <c r="D131" s="150"/>
      <c r="E131" s="150"/>
      <c r="F131" s="150"/>
      <c r="G131" s="150"/>
      <c r="H131" s="151"/>
      <c r="I131" s="150"/>
      <c r="J131" s="150"/>
      <c r="K131" s="150"/>
      <c r="L131" s="150"/>
      <c r="M131" s="208"/>
      <c r="N131" s="208"/>
      <c r="O131" s="208"/>
    </row>
    <row r="132" spans="1:15" s="90" customFormat="1" ht="15.95" customHeight="1">
      <c r="A132" s="150"/>
      <c r="B132" s="150"/>
      <c r="C132" s="150"/>
      <c r="D132" s="150"/>
      <c r="E132" s="150"/>
      <c r="F132" s="150"/>
      <c r="G132" s="150"/>
      <c r="H132" s="151"/>
      <c r="I132" s="150"/>
      <c r="J132" s="150"/>
      <c r="K132" s="150"/>
      <c r="L132" s="150"/>
      <c r="M132" s="208"/>
      <c r="N132" s="208"/>
      <c r="O132" s="208"/>
    </row>
    <row r="133" spans="1:15" s="90" customFormat="1" ht="15.95" customHeight="1">
      <c r="A133" s="150"/>
      <c r="B133" s="167" t="s">
        <v>336</v>
      </c>
      <c r="C133" s="150"/>
      <c r="D133" s="150"/>
      <c r="E133" s="150"/>
      <c r="F133" s="168" t="str">
        <f>+F134</f>
        <v>Shop No: 120 A, Hyderabad Road, Aitipamula,  Narketpally in Nalgonda (Dt)., of 508 001</v>
      </c>
      <c r="G133" s="150"/>
      <c r="H133" s="151"/>
      <c r="I133" s="150"/>
      <c r="J133" s="150"/>
      <c r="K133" s="150"/>
      <c r="L133" s="150"/>
      <c r="M133" s="208"/>
      <c r="N133" s="208"/>
      <c r="O133" s="208"/>
    </row>
    <row r="134" spans="1:15" s="90" customFormat="1" ht="15.95" customHeight="1">
      <c r="A134" s="150"/>
      <c r="B134" s="211" t="s">
        <v>292</v>
      </c>
      <c r="C134" s="150"/>
      <c r="D134" s="150"/>
      <c r="E134" s="150"/>
      <c r="F134" s="212" t="str">
        <f>CONCATENATE(,$G$7,", ",$G$8,",  ",,$G$9," in ",G10," (Dt)., of ",G12,)</f>
        <v>Shop No: 120 A, Hyderabad Road, Aitipamula,  Narketpally in Nalgonda (Dt)., of 508 001</v>
      </c>
      <c r="G134" s="150"/>
      <c r="H134" s="151"/>
      <c r="I134" s="150"/>
      <c r="J134" s="150"/>
      <c r="K134" s="150"/>
      <c r="L134" s="150"/>
      <c r="M134" s="208"/>
      <c r="N134" s="208"/>
      <c r="O134" s="208"/>
    </row>
    <row r="135" spans="1:15" s="90" customFormat="1" ht="15.95" customHeight="1">
      <c r="A135" s="150"/>
      <c r="B135" s="167" t="s">
        <v>306</v>
      </c>
      <c r="C135" s="150"/>
      <c r="D135" s="150"/>
      <c r="E135" s="150"/>
      <c r="F135" s="168" t="str">
        <f>+F136</f>
        <v>Sy.No: 199/a,  Near HP Petrol pump, Abdullapurmet,  Peddaamberpet in Ranga Reddy (Dt)., of Telangana</v>
      </c>
      <c r="G135" s="150"/>
      <c r="H135" s="151"/>
      <c r="I135" s="150"/>
      <c r="J135" s="150"/>
      <c r="K135" s="150"/>
      <c r="L135" s="150"/>
      <c r="M135" s="208"/>
      <c r="N135" s="208"/>
      <c r="O135" s="208"/>
    </row>
    <row r="136" spans="1:15" s="90" customFormat="1" ht="15.95" customHeight="1">
      <c r="A136" s="150"/>
      <c r="B136" s="213" t="s">
        <v>307</v>
      </c>
      <c r="C136" s="150"/>
      <c r="D136" s="150"/>
      <c r="E136" s="150"/>
      <c r="F136" s="212" t="str">
        <f>CONCATENATE(,$G$15,", ",$G$16,",  ",,$G$17," in ",G18," (Dt)., of ",G19,)</f>
        <v>Sy.No: 199/a,  Near HP Petrol pump, Abdullapurmet,  Peddaamberpet in Ranga Reddy (Dt)., of Telangana</v>
      </c>
      <c r="G136" s="150"/>
      <c r="H136" s="151"/>
      <c r="I136" s="150"/>
      <c r="J136" s="150"/>
      <c r="K136" s="150"/>
      <c r="L136" s="150"/>
      <c r="M136" s="208"/>
      <c r="N136" s="208"/>
      <c r="O136" s="208"/>
    </row>
    <row r="137" spans="1:15" s="90" customFormat="1" ht="15.95" customHeight="1">
      <c r="A137" s="150"/>
      <c r="B137" s="150"/>
      <c r="C137" s="150"/>
      <c r="D137" s="150"/>
      <c r="E137" s="150"/>
      <c r="F137" s="150"/>
      <c r="G137" s="150"/>
      <c r="H137" s="151"/>
      <c r="I137" s="150"/>
      <c r="J137" s="150"/>
      <c r="K137" s="150"/>
      <c r="L137" s="150"/>
      <c r="M137" s="208"/>
      <c r="N137" s="208"/>
      <c r="O137" s="208"/>
    </row>
    <row r="138" spans="1:15" s="90" customFormat="1" ht="15.95" customHeight="1">
      <c r="A138" s="150"/>
      <c r="B138" s="150"/>
      <c r="C138" s="150"/>
      <c r="D138" s="150"/>
      <c r="E138" s="150"/>
      <c r="F138" s="150"/>
      <c r="G138" s="150"/>
      <c r="H138" s="151"/>
      <c r="I138" s="150"/>
      <c r="J138" s="150"/>
      <c r="K138" s="150"/>
      <c r="L138" s="150"/>
      <c r="M138" s="208"/>
      <c r="N138" s="208"/>
      <c r="O138" s="208"/>
    </row>
    <row r="139" spans="1:15" s="90" customFormat="1" ht="15.95" customHeight="1">
      <c r="A139" s="150"/>
      <c r="B139" s="150"/>
      <c r="C139" s="150"/>
      <c r="D139" s="150"/>
      <c r="E139" s="150"/>
      <c r="F139" s="150"/>
      <c r="G139" s="150"/>
      <c r="H139" s="151"/>
      <c r="I139" s="150"/>
      <c r="J139" s="150"/>
      <c r="K139" s="150"/>
      <c r="L139" s="150"/>
      <c r="M139" s="208"/>
      <c r="N139" s="208"/>
      <c r="O139" s="208"/>
    </row>
    <row r="140" spans="1:15" s="90" customFormat="1" ht="15.95" customHeight="1">
      <c r="A140" s="150"/>
      <c r="B140" s="150"/>
      <c r="C140" s="150"/>
      <c r="D140" s="150"/>
      <c r="E140" s="150"/>
      <c r="F140" s="150"/>
      <c r="G140" s="150"/>
      <c r="H140" s="151"/>
      <c r="I140" s="150"/>
      <c r="J140" s="150"/>
      <c r="K140" s="150"/>
      <c r="L140" s="150"/>
      <c r="M140" s="208"/>
      <c r="N140" s="208"/>
      <c r="O140" s="208"/>
    </row>
    <row r="141" spans="1:15" s="90" customFormat="1" ht="15.95" customHeight="1">
      <c r="A141" s="150"/>
      <c r="B141" s="150"/>
      <c r="C141" s="150"/>
      <c r="D141" s="150"/>
      <c r="E141" s="150"/>
      <c r="F141" s="150"/>
      <c r="G141" s="150"/>
      <c r="H141" s="151"/>
      <c r="I141" s="150"/>
      <c r="J141" s="150"/>
      <c r="K141" s="150"/>
      <c r="L141" s="150"/>
      <c r="M141" s="208"/>
      <c r="N141" s="208"/>
      <c r="O141" s="208"/>
    </row>
    <row r="142" spans="1:15" s="90" customFormat="1" ht="15.95" customHeight="1">
      <c r="A142" s="150"/>
      <c r="B142" s="150"/>
      <c r="C142" s="150"/>
      <c r="D142" s="150"/>
      <c r="E142" s="150"/>
      <c r="F142" s="150"/>
      <c r="G142" s="150"/>
      <c r="H142" s="151"/>
      <c r="I142" s="150"/>
      <c r="J142" s="150"/>
      <c r="K142" s="150"/>
      <c r="L142" s="150"/>
      <c r="M142" s="208"/>
      <c r="N142" s="208"/>
      <c r="O142" s="208"/>
    </row>
    <row r="143" spans="1:15" s="90" customFormat="1" ht="15.95" customHeight="1">
      <c r="A143" s="150"/>
      <c r="B143" s="150"/>
      <c r="C143" s="150"/>
      <c r="D143" s="150"/>
      <c r="E143" s="150"/>
      <c r="F143" s="150"/>
      <c r="G143" s="150"/>
      <c r="H143" s="151"/>
      <c r="I143" s="150"/>
      <c r="J143" s="150"/>
      <c r="K143" s="150"/>
      <c r="L143" s="150"/>
      <c r="M143" s="208"/>
      <c r="N143" s="208"/>
      <c r="O143" s="208"/>
    </row>
    <row r="144" spans="1:15" s="90" customFormat="1" ht="15.95" customHeight="1">
      <c r="A144" s="150"/>
      <c r="B144" s="150"/>
      <c r="C144" s="150"/>
      <c r="D144" s="150"/>
      <c r="E144" s="150"/>
      <c r="F144" s="150"/>
      <c r="G144" s="150"/>
      <c r="H144" s="151"/>
      <c r="I144" s="150"/>
      <c r="J144" s="150"/>
      <c r="K144" s="150"/>
      <c r="L144" s="150"/>
      <c r="M144" s="208"/>
      <c r="N144" s="208"/>
      <c r="O144" s="208"/>
    </row>
    <row r="145" spans="1:34" s="90" customFormat="1" ht="15.95" customHeight="1">
      <c r="A145" s="150"/>
      <c r="B145" s="150"/>
      <c r="C145" s="150"/>
      <c r="D145" s="150"/>
      <c r="E145" s="150"/>
      <c r="F145" s="150"/>
      <c r="G145" s="150"/>
      <c r="H145" s="151"/>
      <c r="I145" s="150"/>
      <c r="J145" s="150"/>
      <c r="K145" s="150"/>
      <c r="L145" s="150"/>
      <c r="M145" s="208"/>
      <c r="N145" s="208"/>
      <c r="O145" s="208"/>
    </row>
    <row r="146" spans="1:34" s="90" customFormat="1" ht="15.95" customHeight="1">
      <c r="A146" s="150"/>
      <c r="B146" s="150"/>
      <c r="C146" s="150"/>
      <c r="D146" s="150"/>
      <c r="E146" s="150"/>
      <c r="F146" s="150"/>
      <c r="G146" s="150"/>
      <c r="H146" s="151"/>
      <c r="I146" s="150"/>
      <c r="J146" s="150"/>
      <c r="K146" s="150"/>
      <c r="L146" s="150"/>
      <c r="M146" s="208"/>
      <c r="N146" s="208"/>
      <c r="O146" s="208"/>
    </row>
    <row r="147" spans="1:34" ht="15.95" customHeight="1">
      <c r="A147" s="214"/>
      <c r="B147" s="150"/>
      <c r="C147" s="214"/>
      <c r="D147" s="214"/>
      <c r="E147" s="214"/>
      <c r="F147" s="215">
        <f>+F148+F149+F150</f>
        <v>60000</v>
      </c>
      <c r="G147" s="215">
        <f t="shared" ref="G147:L147" si="3">+G148+G149+G150</f>
        <v>60000</v>
      </c>
      <c r="H147" s="215">
        <f t="shared" si="3"/>
        <v>60000</v>
      </c>
      <c r="I147" s="215">
        <f t="shared" si="3"/>
        <v>60000</v>
      </c>
      <c r="J147" s="215">
        <f t="shared" si="3"/>
        <v>60000</v>
      </c>
      <c r="K147" s="215">
        <f t="shared" si="3"/>
        <v>60000</v>
      </c>
      <c r="L147" s="215">
        <f t="shared" si="3"/>
        <v>60000</v>
      </c>
      <c r="M147" s="208"/>
      <c r="N147" s="208"/>
      <c r="O147" s="177"/>
    </row>
    <row r="148" spans="1:34" ht="15.95" customHeight="1">
      <c r="A148" s="214"/>
      <c r="B148" s="150" t="s">
        <v>320</v>
      </c>
      <c r="C148" s="216"/>
      <c r="D148" s="217">
        <f>+D154</f>
        <v>5</v>
      </c>
      <c r="E148" s="218">
        <f>+K81</f>
        <v>0</v>
      </c>
      <c r="F148" s="218">
        <f t="shared" ref="F148:L148" si="4">+F151</f>
        <v>0</v>
      </c>
      <c r="G148" s="218">
        <f t="shared" si="4"/>
        <v>0</v>
      </c>
      <c r="H148" s="218">
        <f t="shared" si="4"/>
        <v>0</v>
      </c>
      <c r="I148" s="218">
        <f t="shared" si="4"/>
        <v>0</v>
      </c>
      <c r="J148" s="218">
        <f t="shared" si="4"/>
        <v>0</v>
      </c>
      <c r="K148" s="218">
        <f t="shared" si="4"/>
        <v>0</v>
      </c>
      <c r="L148" s="218">
        <f t="shared" si="4"/>
        <v>0</v>
      </c>
      <c r="M148" s="208"/>
      <c r="N148" s="207" t="e">
        <f>+#REF!</f>
        <v>#REF!</v>
      </c>
      <c r="O148" s="177"/>
    </row>
    <row r="149" spans="1:34" ht="15.95" customHeight="1">
      <c r="A149" s="214"/>
      <c r="B149" s="150" t="s">
        <v>274</v>
      </c>
      <c r="C149" s="216"/>
      <c r="D149" s="217">
        <f>+D155</f>
        <v>10</v>
      </c>
      <c r="E149" s="218">
        <f>+E152</f>
        <v>600000</v>
      </c>
      <c r="F149" s="218">
        <f t="shared" ref="F149:L149" si="5">+F152</f>
        <v>60000</v>
      </c>
      <c r="G149" s="218">
        <f t="shared" si="5"/>
        <v>60000</v>
      </c>
      <c r="H149" s="218">
        <f t="shared" si="5"/>
        <v>60000</v>
      </c>
      <c r="I149" s="218">
        <f t="shared" si="5"/>
        <v>60000</v>
      </c>
      <c r="J149" s="218">
        <f t="shared" si="5"/>
        <v>60000</v>
      </c>
      <c r="K149" s="218">
        <f t="shared" si="5"/>
        <v>60000</v>
      </c>
      <c r="L149" s="218">
        <f t="shared" si="5"/>
        <v>60000</v>
      </c>
      <c r="M149" s="208"/>
      <c r="N149" s="171" t="s">
        <v>321</v>
      </c>
      <c r="O149" s="177"/>
    </row>
    <row r="150" spans="1:34" ht="15.95" customHeight="1">
      <c r="A150" s="214"/>
      <c r="B150" s="150" t="s">
        <v>319</v>
      </c>
      <c r="C150" s="216"/>
      <c r="D150" s="217">
        <f>+D156</f>
        <v>15</v>
      </c>
      <c r="E150" s="218">
        <f>+E153</f>
        <v>0</v>
      </c>
      <c r="F150" s="218">
        <f t="shared" ref="F150:L150" si="6">+F153</f>
        <v>0</v>
      </c>
      <c r="G150" s="218">
        <f t="shared" si="6"/>
        <v>0</v>
      </c>
      <c r="H150" s="218">
        <f t="shared" si="6"/>
        <v>0</v>
      </c>
      <c r="I150" s="218">
        <f t="shared" si="6"/>
        <v>0</v>
      </c>
      <c r="J150" s="218">
        <f t="shared" si="6"/>
        <v>0</v>
      </c>
      <c r="K150" s="218">
        <f t="shared" si="6"/>
        <v>0</v>
      </c>
      <c r="L150" s="218">
        <f t="shared" si="6"/>
        <v>0</v>
      </c>
      <c r="M150" s="208"/>
      <c r="N150" s="150"/>
      <c r="O150" s="177"/>
    </row>
    <row r="151" spans="1:34" ht="15.95" customHeight="1">
      <c r="A151" s="214"/>
      <c r="B151" s="150" t="s">
        <v>320</v>
      </c>
      <c r="C151" s="216"/>
      <c r="D151" s="217">
        <f>+D154</f>
        <v>5</v>
      </c>
      <c r="E151" s="218">
        <f>+E154</f>
        <v>0</v>
      </c>
      <c r="F151" s="219">
        <f>+E151*D151/100</f>
        <v>0</v>
      </c>
      <c r="G151" s="219">
        <f t="shared" ref="G151:L151" si="7">+F151</f>
        <v>0</v>
      </c>
      <c r="H151" s="220">
        <f t="shared" si="7"/>
        <v>0</v>
      </c>
      <c r="I151" s="219">
        <f t="shared" si="7"/>
        <v>0</v>
      </c>
      <c r="J151" s="219">
        <f t="shared" si="7"/>
        <v>0</v>
      </c>
      <c r="K151" s="219">
        <f t="shared" si="7"/>
        <v>0</v>
      </c>
      <c r="L151" s="219">
        <f t="shared" si="7"/>
        <v>0</v>
      </c>
      <c r="M151" s="208"/>
      <c r="N151" s="150"/>
      <c r="O151" s="177"/>
    </row>
    <row r="152" spans="1:34" ht="15.95" customHeight="1">
      <c r="A152" s="214"/>
      <c r="B152" s="150" t="s">
        <v>274</v>
      </c>
      <c r="C152" s="216"/>
      <c r="D152" s="217">
        <f>+D155</f>
        <v>10</v>
      </c>
      <c r="E152" s="218">
        <f>+Report!H207</f>
        <v>600000</v>
      </c>
      <c r="F152" s="219">
        <f t="shared" ref="F152:L152" si="8">+$E$152*$D$152/100</f>
        <v>60000</v>
      </c>
      <c r="G152" s="219">
        <f t="shared" si="8"/>
        <v>60000</v>
      </c>
      <c r="H152" s="220">
        <f t="shared" si="8"/>
        <v>60000</v>
      </c>
      <c r="I152" s="219">
        <f t="shared" si="8"/>
        <v>60000</v>
      </c>
      <c r="J152" s="219">
        <f t="shared" si="8"/>
        <v>60000</v>
      </c>
      <c r="K152" s="219">
        <f t="shared" si="8"/>
        <v>60000</v>
      </c>
      <c r="L152" s="219">
        <f t="shared" si="8"/>
        <v>60000</v>
      </c>
      <c r="M152" s="208"/>
      <c r="N152" s="171" t="s">
        <v>322</v>
      </c>
      <c r="O152" s="177"/>
    </row>
    <row r="153" spans="1:34" ht="15.95" customHeight="1">
      <c r="A153" s="214"/>
      <c r="B153" s="150" t="s">
        <v>319</v>
      </c>
      <c r="C153" s="216"/>
      <c r="D153" s="217">
        <f>+D156</f>
        <v>15</v>
      </c>
      <c r="E153" s="218"/>
      <c r="F153" s="219">
        <f>+F156</f>
        <v>0</v>
      </c>
      <c r="G153" s="219">
        <f t="shared" ref="G153:L153" si="9">+$E$153*$D$153/100</f>
        <v>0</v>
      </c>
      <c r="H153" s="220">
        <f t="shared" si="9"/>
        <v>0</v>
      </c>
      <c r="I153" s="219">
        <f t="shared" si="9"/>
        <v>0</v>
      </c>
      <c r="J153" s="219">
        <f t="shared" si="9"/>
        <v>0</v>
      </c>
      <c r="K153" s="219">
        <f t="shared" si="9"/>
        <v>0</v>
      </c>
      <c r="L153" s="219">
        <f t="shared" si="9"/>
        <v>0</v>
      </c>
      <c r="M153" s="208"/>
      <c r="N153" s="150"/>
      <c r="O153" s="177"/>
    </row>
    <row r="154" spans="1:34" ht="15.95" customHeight="1">
      <c r="A154" s="214"/>
      <c r="B154" s="150" t="s">
        <v>320</v>
      </c>
      <c r="C154" s="216"/>
      <c r="D154" s="217">
        <f>+G65</f>
        <v>5</v>
      </c>
      <c r="E154" s="218">
        <f>+K81</f>
        <v>0</v>
      </c>
      <c r="F154" s="219">
        <f>+E154*D154/100</f>
        <v>0</v>
      </c>
      <c r="G154" s="219">
        <f>(+E154-F154)*$D$154/100</f>
        <v>0</v>
      </c>
      <c r="H154" s="220">
        <f>(E154-F154-G154)*$D$154/100</f>
        <v>0</v>
      </c>
      <c r="I154" s="219">
        <f>($E$154-F154-G154-H154)*$D$154/100</f>
        <v>0</v>
      </c>
      <c r="J154" s="219">
        <f>($E$154-F154-G154-H154-I154)*$D$154/100</f>
        <v>0</v>
      </c>
      <c r="K154" s="219">
        <f>($E$154-F154-G154-H154-I154-J154)*$D$154/100</f>
        <v>0</v>
      </c>
      <c r="L154" s="219">
        <f>($E$154-F154-G154-H154-I154-J154-K154)*$D$154/100</f>
        <v>0</v>
      </c>
      <c r="M154" s="208"/>
      <c r="N154" s="150"/>
      <c r="O154" s="177"/>
    </row>
    <row r="155" spans="1:34" ht="15.95" customHeight="1">
      <c r="A155" s="214"/>
      <c r="B155" s="150" t="s">
        <v>274</v>
      </c>
      <c r="C155" s="216"/>
      <c r="D155" s="217">
        <f>+H65</f>
        <v>10</v>
      </c>
      <c r="E155" s="218">
        <f>+E152</f>
        <v>600000</v>
      </c>
      <c r="F155" s="219">
        <f>+$E$155*$D$155/100</f>
        <v>60000</v>
      </c>
      <c r="G155" s="219">
        <f>(+$E$155-F155)*$D$155/100</f>
        <v>54000</v>
      </c>
      <c r="H155" s="220">
        <f>(+$E$155-F155-G155)*$D$155/100</f>
        <v>48600</v>
      </c>
      <c r="I155" s="219">
        <f>(+$E$155-F155-G155-H155)*$D$155/100</f>
        <v>43740</v>
      </c>
      <c r="J155" s="219">
        <f>(+$E$155-F155-G155-H155-I155)*$D$155/100</f>
        <v>39366</v>
      </c>
      <c r="K155" s="219">
        <f>(+$E$155-F155-G155-H155-I155-J155)*$D$155/100</f>
        <v>35429.4</v>
      </c>
      <c r="L155" s="219">
        <f>(+$E$155-F155-G155-H155-I155-J155-K155)*$D$155/100</f>
        <v>31886.46</v>
      </c>
      <c r="M155" s="208"/>
      <c r="N155" s="171" t="s">
        <v>323</v>
      </c>
      <c r="O155" s="177"/>
    </row>
    <row r="156" spans="1:34" ht="15.95" customHeight="1">
      <c r="A156" s="150"/>
      <c r="B156" s="150" t="s">
        <v>319</v>
      </c>
      <c r="C156" s="150"/>
      <c r="D156" s="217">
        <f>+I65</f>
        <v>15</v>
      </c>
      <c r="E156" s="219"/>
      <c r="F156" s="219">
        <f>+$E$156*$D$156/100</f>
        <v>0</v>
      </c>
      <c r="G156" s="219">
        <f>(+$E$156-F156)*$D$156/100</f>
        <v>0</v>
      </c>
      <c r="H156" s="220">
        <f>(+$E$156-F156-G156)*$D$156/100</f>
        <v>0</v>
      </c>
      <c r="I156" s="219">
        <f>(+$E$156-F156-G156-H156)*$D$156/100</f>
        <v>0</v>
      </c>
      <c r="J156" s="219">
        <f>(+$E$156-F156-G156-H156-I156)*$D$156/100</f>
        <v>0</v>
      </c>
      <c r="K156" s="219">
        <f>(+$E$156-F156-G156-H156-I156-J156)*$D$156/100</f>
        <v>0</v>
      </c>
      <c r="L156" s="219">
        <f>(+$E$156-F156-G156-H156-I156-J156-K156)*$D$156/100</f>
        <v>0</v>
      </c>
      <c r="M156" s="208"/>
      <c r="N156" s="208"/>
      <c r="O156" s="177"/>
    </row>
    <row r="157" spans="1:34" ht="15.95" customHeight="1">
      <c r="A157" s="150"/>
      <c r="B157" s="150"/>
      <c r="C157" s="150"/>
      <c r="D157" s="150"/>
      <c r="E157" s="150"/>
      <c r="F157" s="150"/>
      <c r="G157" s="150"/>
      <c r="H157" s="151"/>
      <c r="I157" s="150"/>
      <c r="J157" s="150"/>
      <c r="K157" s="150"/>
      <c r="L157" s="150"/>
      <c r="M157" s="208"/>
      <c r="N157" s="208"/>
      <c r="O157" s="177"/>
    </row>
    <row r="158" spans="1:34" ht="15.95" customHeight="1">
      <c r="A158" s="215"/>
      <c r="B158" s="150"/>
      <c r="C158" s="150"/>
      <c r="D158" s="150"/>
      <c r="E158" s="150"/>
      <c r="F158" s="150"/>
      <c r="G158" s="150"/>
      <c r="H158" s="151"/>
      <c r="I158" s="150"/>
      <c r="J158" s="150"/>
      <c r="K158" s="150"/>
      <c r="L158" s="215"/>
      <c r="M158" s="208"/>
      <c r="N158" s="208"/>
      <c r="O158" s="177"/>
    </row>
    <row r="159" spans="1:34" ht="15.95" customHeight="1">
      <c r="A159" s="150"/>
      <c r="B159" s="150"/>
      <c r="C159" s="150"/>
      <c r="D159" s="150"/>
      <c r="E159" s="150"/>
      <c r="F159" s="150"/>
      <c r="G159" s="150"/>
      <c r="H159" s="151"/>
      <c r="I159" s="150"/>
      <c r="J159" s="150"/>
      <c r="K159" s="150"/>
      <c r="L159" s="150"/>
      <c r="M159" s="208"/>
      <c r="N159" s="208"/>
      <c r="O159" s="177"/>
      <c r="AA159" s="6"/>
      <c r="AC159" s="1"/>
      <c r="AD159" s="1"/>
      <c r="AE159" s="1"/>
      <c r="AF159" s="1"/>
      <c r="AG159" s="1"/>
      <c r="AH159" s="1"/>
    </row>
    <row r="160" spans="1:34" ht="15.95" customHeight="1">
      <c r="A160" s="214"/>
      <c r="B160" s="221" t="str">
        <f>+G2</f>
        <v>MASALA / SPICES MAKING UNIT</v>
      </c>
      <c r="C160" s="221"/>
      <c r="D160" s="221"/>
      <c r="E160" s="221"/>
      <c r="F160" s="221"/>
      <c r="G160" s="221"/>
      <c r="H160" s="222"/>
      <c r="I160" s="221"/>
      <c r="J160" s="221"/>
      <c r="K160" s="221"/>
      <c r="L160" s="215"/>
      <c r="M160" s="208"/>
      <c r="N160" s="208"/>
      <c r="O160" s="208"/>
      <c r="AA160" s="6"/>
      <c r="AC160" s="1"/>
      <c r="AD160" s="1"/>
      <c r="AE160" s="1"/>
      <c r="AF160" s="1"/>
      <c r="AG160" s="1"/>
      <c r="AH160" s="1"/>
    </row>
    <row r="161" spans="1:37" ht="15.95" customHeight="1">
      <c r="A161" s="215"/>
      <c r="B161" s="223" t="s">
        <v>45</v>
      </c>
      <c r="C161" s="224"/>
      <c r="D161" s="224"/>
      <c r="E161" s="1164" t="str">
        <f>+F133</f>
        <v>Shop No: 120 A, Hyderabad Road, Aitipamula,  Narketpally in Nalgonda (Dt)., of 508 001</v>
      </c>
      <c r="F161" s="1164"/>
      <c r="G161" s="1164"/>
      <c r="H161" s="1164"/>
      <c r="I161" s="1164"/>
      <c r="J161" s="1164"/>
      <c r="K161" s="1164"/>
      <c r="L161" s="150"/>
      <c r="M161" s="208"/>
      <c r="N161" s="208"/>
      <c r="O161" s="208"/>
      <c r="AA161" s="6"/>
      <c r="AC161" s="1"/>
      <c r="AD161" s="1"/>
      <c r="AE161" s="1"/>
      <c r="AF161" s="1"/>
      <c r="AG161" s="1"/>
      <c r="AH161" s="1"/>
    </row>
    <row r="162" spans="1:37" ht="15.95" customHeight="1">
      <c r="A162" s="215"/>
      <c r="B162" s="224"/>
      <c r="C162" s="224"/>
      <c r="D162" s="224"/>
      <c r="E162" s="1164"/>
      <c r="F162" s="1164"/>
      <c r="G162" s="1164"/>
      <c r="H162" s="1164"/>
      <c r="I162" s="1164"/>
      <c r="J162" s="1164"/>
      <c r="K162" s="1164"/>
      <c r="L162" s="150"/>
      <c r="M162" s="208"/>
      <c r="N162" s="208"/>
      <c r="O162" s="208"/>
      <c r="AA162" s="6"/>
      <c r="AC162" s="1"/>
      <c r="AD162" s="1"/>
      <c r="AE162" s="1"/>
      <c r="AF162" s="1"/>
      <c r="AG162" s="1"/>
      <c r="AH162" s="1"/>
    </row>
    <row r="163" spans="1:37" ht="15.95" customHeight="1">
      <c r="A163" s="215"/>
      <c r="B163" s="223" t="s">
        <v>46</v>
      </c>
      <c r="C163" s="223"/>
      <c r="D163" s="223"/>
      <c r="E163" s="1164" t="str">
        <f>+'Data Feeding'!F135</f>
        <v>Sy.No: 199/a,  Near HP Petrol pump, Abdullapurmet,  Peddaamberpet in Ranga Reddy (Dt)., of Telangana</v>
      </c>
      <c r="F163" s="1164"/>
      <c r="G163" s="1164"/>
      <c r="H163" s="1164"/>
      <c r="I163" s="1164"/>
      <c r="J163" s="1164"/>
      <c r="K163" s="1164"/>
      <c r="L163" s="150"/>
      <c r="M163" s="208"/>
      <c r="N163" s="208"/>
      <c r="O163" s="208"/>
      <c r="AA163" s="6"/>
      <c r="AC163" s="1"/>
      <c r="AD163" s="1"/>
      <c r="AE163" s="1"/>
      <c r="AF163" s="1"/>
      <c r="AG163" s="1"/>
      <c r="AH163" s="1"/>
    </row>
    <row r="164" spans="1:37" ht="15.95" customHeight="1">
      <c r="A164" s="215"/>
      <c r="B164" s="223"/>
      <c r="C164" s="223"/>
      <c r="D164" s="223"/>
      <c r="E164" s="1164"/>
      <c r="F164" s="1164"/>
      <c r="G164" s="1164"/>
      <c r="H164" s="1164"/>
      <c r="I164" s="1164"/>
      <c r="J164" s="1164"/>
      <c r="K164" s="1164"/>
      <c r="L164" s="150"/>
      <c r="M164" s="208"/>
      <c r="N164" s="208"/>
      <c r="O164" s="208"/>
      <c r="AA164" s="6"/>
      <c r="AC164" s="1"/>
      <c r="AD164" s="1"/>
      <c r="AE164" s="1"/>
      <c r="AF164" s="1"/>
      <c r="AG164" s="1"/>
      <c r="AH164" s="1"/>
    </row>
    <row r="165" spans="1:37" ht="15.95" customHeight="1">
      <c r="A165" s="215"/>
      <c r="B165" s="223" t="s">
        <v>257</v>
      </c>
      <c r="C165" s="224"/>
      <c r="D165" s="224"/>
      <c r="E165" s="225" t="str">
        <f>CONCATENATE(,$G$27,", ",$G$28," Branch, ",G29," Dt., ",,)</f>
        <v xml:space="preserve">State Bank of India, Dilsuknatar Branch, Hyderabad Dt., </v>
      </c>
      <c r="F165" s="226"/>
      <c r="G165" s="226"/>
      <c r="H165" s="151"/>
      <c r="I165" s="226"/>
      <c r="J165" s="226"/>
      <c r="K165" s="226"/>
      <c r="L165" s="150"/>
      <c r="M165" s="208"/>
      <c r="N165" s="1119"/>
      <c r="O165" s="1120"/>
      <c r="AA165" s="6"/>
      <c r="AC165" s="1"/>
      <c r="AD165" s="1"/>
      <c r="AE165" s="1"/>
      <c r="AF165" s="1"/>
      <c r="AG165" s="1"/>
      <c r="AH165" s="1"/>
    </row>
    <row r="166" spans="1:37" ht="15.95" customHeight="1">
      <c r="A166" s="215"/>
      <c r="B166" s="223" t="s">
        <v>257</v>
      </c>
      <c r="C166" s="224"/>
      <c r="D166" s="224"/>
      <c r="E166" s="225" t="str">
        <f>CONCATENATE(,$G$27,", ",$G$28," Branch")</f>
        <v>State Bank of India, Dilsuknatar Branch</v>
      </c>
      <c r="F166" s="226"/>
      <c r="G166" s="226"/>
      <c r="H166" s="151"/>
      <c r="I166" s="226"/>
      <c r="J166" s="226"/>
      <c r="K166" s="226"/>
      <c r="L166" s="215"/>
      <c r="M166" s="208"/>
      <c r="N166" s="1119"/>
      <c r="O166" s="1120"/>
      <c r="AC166" s="1"/>
      <c r="AD166" s="1"/>
      <c r="AE166" s="1"/>
      <c r="AF166" s="1"/>
      <c r="AG166" s="1"/>
      <c r="AH166" s="1"/>
    </row>
    <row r="167" spans="1:37" ht="15.95" customHeight="1">
      <c r="A167" s="215"/>
      <c r="B167" s="223" t="s">
        <v>252</v>
      </c>
      <c r="C167" s="224"/>
      <c r="D167" s="224"/>
      <c r="E167" s="227" t="str">
        <f>CONCATENATE(,$G$28," Branch, ",$G$29," Dt., ")</f>
        <v xml:space="preserve">Dilsuknatar Branch, Hyderabad Dt., </v>
      </c>
      <c r="F167" s="226"/>
      <c r="G167" s="226"/>
      <c r="H167" s="151"/>
      <c r="I167" s="226"/>
      <c r="J167" s="226"/>
      <c r="K167" s="226"/>
      <c r="L167" s="215"/>
      <c r="M167" s="208"/>
      <c r="N167" s="1121"/>
      <c r="O167" s="1122"/>
      <c r="P167" s="6"/>
      <c r="AC167" s="1"/>
      <c r="AD167" s="1"/>
      <c r="AE167" s="1"/>
      <c r="AF167" s="1"/>
      <c r="AG167" s="1"/>
      <c r="AH167" s="1"/>
    </row>
    <row r="168" spans="1:37" ht="15.95" customHeight="1">
      <c r="A168" s="215"/>
      <c r="B168" s="223" t="s">
        <v>47</v>
      </c>
      <c r="C168" s="224"/>
      <c r="D168" s="224"/>
      <c r="E168" s="216" t="str">
        <f>CONCATENATE(,+$A$222," ",$B$222," Dt., ")</f>
        <v xml:space="preserve">A.P.K.V.I.B., Ranga Reddy Dt., </v>
      </c>
      <c r="F168" s="216"/>
      <c r="G168" s="216"/>
      <c r="H168" s="228"/>
      <c r="I168" s="216"/>
      <c r="J168" s="216"/>
      <c r="K168" s="216"/>
      <c r="L168" s="215"/>
      <c r="M168" s="208"/>
      <c r="N168" s="208"/>
      <c r="O168" s="208"/>
      <c r="P168" s="6"/>
      <c r="AC168" s="1"/>
      <c r="AD168" s="1"/>
      <c r="AE168" s="1"/>
      <c r="AF168" s="1"/>
      <c r="AG168" s="1"/>
      <c r="AH168" s="1"/>
    </row>
    <row r="169" spans="1:37" ht="15.95" customHeight="1">
      <c r="A169" s="215"/>
      <c r="B169" s="223" t="s">
        <v>47</v>
      </c>
      <c r="C169" s="224"/>
      <c r="D169" s="224"/>
      <c r="E169" s="216" t="str">
        <f>CONCATENATE(,C222," ",$A$222," ",$B$222," Dt., ")</f>
        <v xml:space="preserve">Dy.Director, A.P.K.V.I.B., Ranga Reddy Dt., </v>
      </c>
      <c r="F169" s="216"/>
      <c r="G169" s="216"/>
      <c r="H169" s="228"/>
      <c r="I169" s="216"/>
      <c r="J169" s="216"/>
      <c r="K169" s="216"/>
      <c r="L169" s="215"/>
      <c r="M169" s="208"/>
      <c r="N169" s="208"/>
      <c r="O169" s="208"/>
      <c r="P169" s="6"/>
      <c r="AC169" s="1"/>
      <c r="AD169" s="1"/>
      <c r="AE169" s="1"/>
      <c r="AF169" s="1"/>
      <c r="AG169" s="1"/>
      <c r="AH169" s="1"/>
    </row>
    <row r="170" spans="1:37" ht="15.95" customHeight="1">
      <c r="A170" s="215"/>
      <c r="B170" s="223" t="s">
        <v>2</v>
      </c>
      <c r="C170" s="224"/>
      <c r="D170" s="224"/>
      <c r="E170" s="216" t="str">
        <f>CONCATENATE("M/s. ",$G$4,)</f>
        <v>M/s. SAI VENKATESWARA MASALA POWDERS</v>
      </c>
      <c r="F170" s="216"/>
      <c r="G170" s="216"/>
      <c r="H170" s="228"/>
      <c r="I170" s="216"/>
      <c r="J170" s="216"/>
      <c r="K170" s="216"/>
      <c r="L170" s="215"/>
      <c r="M170" s="208"/>
      <c r="N170" s="208"/>
      <c r="O170" s="208"/>
      <c r="AC170" s="1"/>
      <c r="AD170" s="1"/>
      <c r="AE170" s="1"/>
      <c r="AF170" s="1"/>
      <c r="AG170" s="1"/>
      <c r="AH170" s="1"/>
    </row>
    <row r="171" spans="1:37" ht="15.95" customHeight="1">
      <c r="A171" s="215"/>
      <c r="B171" s="223" t="s">
        <v>1</v>
      </c>
      <c r="C171" s="224"/>
      <c r="D171" s="224"/>
      <c r="E171" s="216" t="str">
        <f>CONCATENATE(,$G$5,)</f>
        <v>Mr. UTTAM  KRISHNAIH</v>
      </c>
      <c r="F171" s="216"/>
      <c r="G171" s="216"/>
      <c r="H171" s="228"/>
      <c r="I171" s="216"/>
      <c r="J171" s="216"/>
      <c r="K171" s="216"/>
      <c r="L171" s="215"/>
      <c r="M171" s="208"/>
      <c r="N171" s="208"/>
      <c r="O171" s="208"/>
      <c r="AC171" s="1"/>
      <c r="AD171" s="1"/>
      <c r="AE171" s="1"/>
      <c r="AF171" s="1"/>
      <c r="AG171" s="1"/>
      <c r="AH171" s="1"/>
    </row>
    <row r="172" spans="1:37" ht="15.95" customHeight="1">
      <c r="A172" s="215"/>
      <c r="B172" s="223" t="s">
        <v>1</v>
      </c>
      <c r="C172" s="224"/>
      <c r="D172" s="224"/>
      <c r="E172" s="216" t="str">
        <f>CONCATENATE("M/s. ",$G$4,", ",E171,)</f>
        <v>M/s. SAI VENKATESWARA MASALA POWDERS, Mr. UTTAM  KRISHNAIH</v>
      </c>
      <c r="F172" s="216"/>
      <c r="G172" s="216"/>
      <c r="H172" s="228"/>
      <c r="I172" s="216"/>
      <c r="J172" s="216"/>
      <c r="K172" s="216"/>
      <c r="L172" s="215"/>
      <c r="M172" s="208"/>
      <c r="N172" s="208"/>
      <c r="O172" s="208"/>
      <c r="AC172" s="1"/>
      <c r="AD172" s="1"/>
      <c r="AE172" s="1"/>
      <c r="AF172" s="1"/>
      <c r="AG172" s="1"/>
      <c r="AH172" s="1"/>
      <c r="AI172" s="1"/>
      <c r="AJ172" s="1"/>
      <c r="AK172" s="1"/>
    </row>
    <row r="173" spans="1:37" ht="15.95" customHeight="1">
      <c r="A173" s="215"/>
      <c r="B173" s="223" t="s">
        <v>96</v>
      </c>
      <c r="C173" s="224"/>
      <c r="D173" s="224"/>
      <c r="E173" s="216" t="str">
        <f>CONCATENATE(" ",G6,)</f>
        <v xml:space="preserve"> S/o. Sudhakar</v>
      </c>
      <c r="F173" s="216"/>
      <c r="G173" s="216"/>
      <c r="H173" s="228"/>
      <c r="I173" s="216"/>
      <c r="J173" s="216"/>
      <c r="K173" s="216"/>
      <c r="L173" s="215"/>
      <c r="M173" s="208"/>
      <c r="N173" s="208"/>
      <c r="O173" s="208"/>
      <c r="Z173" s="6"/>
      <c r="AG173" s="1"/>
      <c r="AH173" s="1"/>
      <c r="AI173" s="1"/>
      <c r="AJ173" s="1"/>
      <c r="AK173" s="1"/>
    </row>
    <row r="174" spans="1:37" ht="15.95" customHeight="1">
      <c r="A174" s="215"/>
      <c r="B174" s="223" t="s">
        <v>8</v>
      </c>
      <c r="C174" s="224"/>
      <c r="D174" s="224"/>
      <c r="E174" s="229" t="str">
        <f>CONCATENATE(" ",$G$5,", ",$G$6,)</f>
        <v xml:space="preserve"> Mr. UTTAM  KRISHNAIH, S/o. Sudhakar</v>
      </c>
      <c r="F174" s="216"/>
      <c r="G174" s="216"/>
      <c r="H174" s="228"/>
      <c r="I174" s="216"/>
      <c r="J174" s="216"/>
      <c r="K174" s="216"/>
      <c r="L174" s="150"/>
      <c r="M174" s="208"/>
      <c r="N174" s="208"/>
      <c r="O174" s="208"/>
      <c r="Z174" s="6"/>
      <c r="AG174" s="1"/>
      <c r="AH174" s="1"/>
      <c r="AI174" s="1"/>
      <c r="AJ174" s="1"/>
      <c r="AK174" s="1"/>
    </row>
    <row r="175" spans="1:37" ht="15.95" customHeight="1">
      <c r="A175" s="215"/>
      <c r="B175" s="223" t="s">
        <v>13</v>
      </c>
      <c r="C175" s="224"/>
      <c r="D175" s="224"/>
      <c r="E175" s="225" t="s">
        <v>537</v>
      </c>
      <c r="F175" s="226"/>
      <c r="G175" s="226"/>
      <c r="H175" s="151"/>
      <c r="I175" s="226"/>
      <c r="J175" s="226"/>
      <c r="K175" s="226"/>
      <c r="L175" s="150"/>
      <c r="M175" s="208"/>
      <c r="N175" s="208"/>
      <c r="O175" s="208"/>
      <c r="P175" s="78"/>
      <c r="Q175" s="78"/>
      <c r="R175" s="78"/>
      <c r="S175" s="78"/>
      <c r="T175" s="78"/>
      <c r="U175" s="78"/>
      <c r="Y175" s="16"/>
      <c r="Z175" s="6"/>
      <c r="AG175" s="1"/>
      <c r="AH175" s="1"/>
      <c r="AI175" s="1"/>
      <c r="AJ175" s="1"/>
      <c r="AK175" s="1"/>
    </row>
    <row r="176" spans="1:37" ht="15.95" customHeight="1">
      <c r="A176" s="215"/>
      <c r="B176" s="223" t="s">
        <v>272</v>
      </c>
      <c r="C176" s="224"/>
      <c r="D176" s="224"/>
      <c r="E176" s="216" t="str">
        <f>CONCATENATE(" ",$G$5,)</f>
        <v xml:space="preserve"> Mr. UTTAM  KRISHNAIH</v>
      </c>
      <c r="F176" s="216"/>
      <c r="G176" s="216"/>
      <c r="H176" s="228"/>
      <c r="I176" s="216"/>
      <c r="J176" s="216"/>
      <c r="K176" s="216"/>
      <c r="L176" s="150"/>
      <c r="M176" s="208"/>
      <c r="N176" s="208"/>
      <c r="O176" s="208"/>
      <c r="P176" s="78"/>
      <c r="Q176" s="78"/>
      <c r="R176" s="78"/>
      <c r="S176" s="78"/>
      <c r="T176" s="78"/>
      <c r="U176" s="78"/>
      <c r="Z176" s="6"/>
      <c r="AG176" s="1"/>
      <c r="AH176" s="1"/>
      <c r="AI176" s="1"/>
      <c r="AJ176" s="1"/>
      <c r="AK176" s="1"/>
    </row>
    <row r="177" spans="1:37" ht="15.95" customHeight="1">
      <c r="A177" s="215"/>
      <c r="B177" s="150"/>
      <c r="C177" s="150"/>
      <c r="D177" s="150"/>
      <c r="E177" s="150"/>
      <c r="F177" s="150"/>
      <c r="G177" s="150"/>
      <c r="H177" s="151"/>
      <c r="I177" s="150"/>
      <c r="J177" s="150"/>
      <c r="K177" s="150"/>
      <c r="L177" s="150"/>
      <c r="M177" s="208"/>
      <c r="N177" s="230"/>
      <c r="O177" s="230"/>
      <c r="P177" s="57"/>
      <c r="Z177" s="6"/>
      <c r="AA177" s="6"/>
      <c r="AC177" s="1"/>
      <c r="AD177" s="1"/>
      <c r="AE177" s="1"/>
      <c r="AF177" s="1"/>
      <c r="AG177" s="1"/>
      <c r="AH177" s="1"/>
      <c r="AI177" s="1"/>
      <c r="AJ177" s="1"/>
      <c r="AK177" s="1"/>
    </row>
    <row r="178" spans="1:37" ht="15.95" customHeight="1">
      <c r="A178" s="215"/>
      <c r="B178" s="150"/>
      <c r="C178" s="150"/>
      <c r="D178" s="150"/>
      <c r="E178" s="150"/>
      <c r="F178" s="150"/>
      <c r="G178" s="150"/>
      <c r="H178" s="151"/>
      <c r="I178" s="150"/>
      <c r="J178" s="150"/>
      <c r="K178" s="150"/>
      <c r="L178" s="150"/>
      <c r="M178" s="208"/>
      <c r="N178" s="230"/>
      <c r="O178" s="230"/>
      <c r="P178" s="57"/>
      <c r="Z178" s="6"/>
      <c r="AA178" s="6"/>
      <c r="AC178" s="1"/>
      <c r="AD178" s="1"/>
      <c r="AE178" s="1"/>
      <c r="AF178" s="1"/>
      <c r="AG178" s="1"/>
      <c r="AH178" s="1"/>
      <c r="AI178" s="1"/>
      <c r="AJ178" s="1"/>
      <c r="AK178" s="1"/>
    </row>
    <row r="179" spans="1:37" ht="15.95" customHeight="1">
      <c r="A179" s="215"/>
      <c r="B179" s="223" t="s">
        <v>299</v>
      </c>
      <c r="C179" s="224"/>
      <c r="D179" s="224"/>
      <c r="E179" s="227">
        <f t="shared" ref="E179:E185" si="10">+L179</f>
        <v>0</v>
      </c>
      <c r="F179" s="227"/>
      <c r="G179" s="227"/>
      <c r="H179" s="228"/>
      <c r="I179" s="227"/>
      <c r="J179" s="227"/>
      <c r="K179" s="227"/>
      <c r="L179" s="231">
        <f>+K81</f>
        <v>0</v>
      </c>
      <c r="M179" s="208"/>
      <c r="N179" s="230"/>
      <c r="O179" s="230"/>
      <c r="P179" s="56"/>
      <c r="X179" s="6"/>
      <c r="Y179" s="6"/>
      <c r="Z179" s="6"/>
      <c r="AA179" s="6"/>
      <c r="AC179" s="1"/>
      <c r="AD179" s="1"/>
      <c r="AE179" s="1"/>
      <c r="AF179" s="1"/>
      <c r="AG179" s="1"/>
      <c r="AH179" s="1"/>
      <c r="AI179" s="1"/>
      <c r="AJ179" s="1"/>
      <c r="AK179" s="1"/>
    </row>
    <row r="180" spans="1:37" ht="15.95" customHeight="1">
      <c r="A180" s="215"/>
      <c r="B180" s="223" t="s">
        <v>300</v>
      </c>
      <c r="C180" s="224"/>
      <c r="D180" s="224"/>
      <c r="E180" s="227">
        <f t="shared" si="10"/>
        <v>600000</v>
      </c>
      <c r="F180" s="227"/>
      <c r="G180" s="227"/>
      <c r="H180" s="228"/>
      <c r="I180" s="227"/>
      <c r="J180" s="227"/>
      <c r="K180" s="227"/>
      <c r="L180" s="231">
        <f>+Report!G73</f>
        <v>600000</v>
      </c>
      <c r="M180" s="208"/>
      <c r="N180" s="230"/>
      <c r="O180" s="230"/>
      <c r="P180" s="56"/>
      <c r="X180" s="6"/>
      <c r="Y180" s="6"/>
      <c r="Z180" s="6"/>
      <c r="AA180" s="6"/>
      <c r="AC180" s="1"/>
      <c r="AD180" s="1"/>
      <c r="AE180" s="1"/>
      <c r="AF180" s="1"/>
      <c r="AG180" s="1"/>
      <c r="AH180" s="1"/>
      <c r="AI180" s="1"/>
      <c r="AJ180" s="1"/>
      <c r="AK180" s="1"/>
    </row>
    <row r="181" spans="1:37" ht="15.95" customHeight="1">
      <c r="A181" s="215"/>
      <c r="B181" s="223" t="s">
        <v>301</v>
      </c>
      <c r="C181" s="224"/>
      <c r="D181" s="224"/>
      <c r="E181" s="227">
        <f t="shared" si="10"/>
        <v>566000</v>
      </c>
      <c r="F181" s="227"/>
      <c r="G181" s="227"/>
      <c r="H181" s="228"/>
      <c r="I181" s="227"/>
      <c r="J181" s="227"/>
      <c r="K181" s="227"/>
      <c r="L181" s="231">
        <f>+Report!G75</f>
        <v>566000</v>
      </c>
      <c r="M181" s="208"/>
      <c r="N181" s="230"/>
      <c r="O181" s="230"/>
      <c r="P181" s="56"/>
      <c r="X181" s="6"/>
      <c r="Y181" s="6"/>
      <c r="AA181" s="6"/>
      <c r="AC181" s="1"/>
      <c r="AD181" s="1"/>
      <c r="AE181" s="1"/>
      <c r="AF181" s="1"/>
      <c r="AG181" s="1"/>
      <c r="AH181" s="1"/>
      <c r="AI181" s="1"/>
      <c r="AJ181" s="1"/>
      <c r="AK181" s="1"/>
    </row>
    <row r="182" spans="1:37" ht="15.95" customHeight="1">
      <c r="A182" s="215"/>
      <c r="B182" s="223" t="s">
        <v>341</v>
      </c>
      <c r="C182" s="224"/>
      <c r="D182" s="224"/>
      <c r="E182" s="227">
        <f t="shared" si="10"/>
        <v>1166000</v>
      </c>
      <c r="F182" s="227"/>
      <c r="G182" s="227"/>
      <c r="H182" s="228"/>
      <c r="I182" s="227"/>
      <c r="J182" s="227"/>
      <c r="K182" s="227"/>
      <c r="L182" s="231">
        <f>+G108</f>
        <v>1166000</v>
      </c>
      <c r="M182" s="208"/>
      <c r="N182" s="230"/>
      <c r="O182" s="230"/>
      <c r="P182" s="56"/>
      <c r="X182" s="6"/>
      <c r="Y182" s="6"/>
      <c r="AA182" s="6"/>
    </row>
    <row r="183" spans="1:37" ht="15.95" customHeight="1">
      <c r="A183" s="215"/>
      <c r="B183" s="223" t="s">
        <v>38</v>
      </c>
      <c r="C183" s="224"/>
      <c r="D183" s="224"/>
      <c r="E183" s="227">
        <f t="shared" si="10"/>
        <v>480000</v>
      </c>
      <c r="F183" s="227"/>
      <c r="G183" s="227"/>
      <c r="H183" s="228"/>
      <c r="I183" s="227"/>
      <c r="J183" s="227"/>
      <c r="K183" s="227"/>
      <c r="L183" s="231">
        <f>+K106</f>
        <v>480000</v>
      </c>
      <c r="M183" s="208"/>
      <c r="N183" s="230"/>
      <c r="O183" s="230"/>
      <c r="P183" s="56"/>
      <c r="Y183" s="6"/>
      <c r="AA183" s="6"/>
    </row>
    <row r="184" spans="1:37" ht="15.95" customHeight="1">
      <c r="A184" s="215"/>
      <c r="B184" s="223" t="s">
        <v>297</v>
      </c>
      <c r="C184" s="224"/>
      <c r="D184" s="224"/>
      <c r="E184" s="227">
        <f t="shared" si="10"/>
        <v>424500</v>
      </c>
      <c r="F184" s="227"/>
      <c r="G184" s="227"/>
      <c r="H184" s="228"/>
      <c r="I184" s="227"/>
      <c r="J184" s="227"/>
      <c r="K184" s="227"/>
      <c r="L184" s="231">
        <f>+K107</f>
        <v>424500</v>
      </c>
      <c r="M184" s="208"/>
      <c r="N184" s="230"/>
      <c r="O184" s="230"/>
      <c r="P184" s="56"/>
      <c r="Y184" s="6"/>
      <c r="AA184" s="6"/>
    </row>
    <row r="185" spans="1:37" ht="15.95" customHeight="1">
      <c r="A185" s="150"/>
      <c r="B185" s="223" t="s">
        <v>298</v>
      </c>
      <c r="C185" s="224"/>
      <c r="D185" s="224"/>
      <c r="E185" s="227">
        <f t="shared" si="10"/>
        <v>261500</v>
      </c>
      <c r="F185" s="227"/>
      <c r="G185" s="227"/>
      <c r="H185" s="228"/>
      <c r="I185" s="227"/>
      <c r="J185" s="227"/>
      <c r="K185" s="227"/>
      <c r="L185" s="231">
        <f>+I108</f>
        <v>261500</v>
      </c>
      <c r="M185" s="219"/>
      <c r="N185" s="232"/>
      <c r="O185" s="215"/>
      <c r="Y185" s="6"/>
    </row>
    <row r="186" spans="1:37" ht="15.95" customHeight="1">
      <c r="A186" s="150"/>
      <c r="B186" s="150"/>
      <c r="C186" s="150"/>
      <c r="D186" s="150"/>
      <c r="E186" s="150"/>
      <c r="F186" s="150"/>
      <c r="G186" s="150"/>
      <c r="H186" s="151"/>
      <c r="I186" s="150"/>
      <c r="J186" s="150"/>
      <c r="K186" s="150"/>
      <c r="L186" s="150"/>
      <c r="M186" s="219"/>
      <c r="N186" s="232"/>
      <c r="O186" s="215"/>
      <c r="Y186" s="6"/>
    </row>
    <row r="187" spans="1:37" ht="15.95" customHeight="1">
      <c r="A187" s="215"/>
      <c r="B187" s="215"/>
      <c r="C187" s="215"/>
      <c r="D187" s="215"/>
      <c r="E187" s="215"/>
      <c r="F187" s="215"/>
      <c r="G187" s="215"/>
      <c r="H187" s="222"/>
      <c r="I187" s="215"/>
      <c r="J187" s="215"/>
      <c r="K187" s="215"/>
      <c r="L187" s="215"/>
      <c r="M187" s="233"/>
      <c r="N187" s="232"/>
      <c r="O187" s="215"/>
      <c r="Y187" s="6"/>
    </row>
    <row r="188" spans="1:37" ht="15.95" customHeight="1">
      <c r="A188" s="215" t="s">
        <v>62</v>
      </c>
      <c r="B188" s="150"/>
      <c r="C188" s="150"/>
      <c r="D188" s="150"/>
      <c r="E188" s="150"/>
      <c r="F188" s="150"/>
      <c r="G188" s="150"/>
      <c r="H188" s="151"/>
      <c r="I188" s="150"/>
      <c r="J188" s="215"/>
      <c r="K188" s="215"/>
      <c r="L188" s="215"/>
      <c r="M188" s="233"/>
      <c r="N188" s="208"/>
      <c r="O188" s="208"/>
      <c r="Y188" s="6"/>
    </row>
    <row r="189" spans="1:37" ht="15.95" customHeight="1">
      <c r="A189" s="150"/>
      <c r="B189" s="150"/>
      <c r="C189" s="150"/>
      <c r="D189" s="150"/>
      <c r="E189" s="150"/>
      <c r="F189" s="150"/>
      <c r="G189" s="150"/>
      <c r="H189" s="151"/>
      <c r="I189" s="150"/>
      <c r="J189" s="150"/>
      <c r="K189" s="150"/>
      <c r="L189" s="150"/>
      <c r="M189" s="208"/>
      <c r="N189" s="208"/>
      <c r="O189" s="208"/>
      <c r="P189" s="78"/>
      <c r="AJ189" s="1"/>
      <c r="AK189" s="1"/>
    </row>
    <row r="190" spans="1:37" ht="15.95" customHeight="1">
      <c r="A190" s="150"/>
      <c r="B190" s="150"/>
      <c r="C190" s="150"/>
      <c r="D190" s="150"/>
      <c r="E190" s="150"/>
      <c r="F190" s="150"/>
      <c r="G190" s="150"/>
      <c r="H190" s="151"/>
      <c r="I190" s="150"/>
      <c r="J190" s="150"/>
      <c r="K190" s="150"/>
      <c r="L190" s="150"/>
      <c r="M190" s="234"/>
      <c r="N190" s="208"/>
      <c r="O190" s="208"/>
      <c r="AA190" s="6"/>
      <c r="AB190" s="6"/>
      <c r="AC190" s="6"/>
      <c r="AD190" s="6"/>
      <c r="AE190" s="6"/>
      <c r="AF190" s="6"/>
      <c r="AG190" s="4"/>
      <c r="AH190" s="4"/>
      <c r="AI190" s="4"/>
      <c r="AJ190" s="1"/>
      <c r="AK190" s="1"/>
    </row>
    <row r="191" spans="1:37" ht="15.95" customHeight="1">
      <c r="A191" s="150"/>
      <c r="B191" s="150"/>
      <c r="C191" s="150"/>
      <c r="D191" s="150"/>
      <c r="E191" s="150"/>
      <c r="F191" s="150"/>
      <c r="G191" s="150"/>
      <c r="H191" s="151"/>
      <c r="I191" s="150"/>
      <c r="J191" s="150"/>
      <c r="K191" s="150"/>
      <c r="L191" s="150"/>
      <c r="M191" s="234"/>
      <c r="N191" s="208"/>
      <c r="O191" s="208"/>
      <c r="AA191" s="6"/>
      <c r="AB191" s="6"/>
      <c r="AC191" s="6"/>
      <c r="AD191" s="6"/>
      <c r="AE191" s="6"/>
      <c r="AF191" s="6"/>
      <c r="AG191" s="4"/>
      <c r="AH191" s="4"/>
      <c r="AI191" s="4"/>
      <c r="AJ191" s="1"/>
      <c r="AK191" s="1"/>
    </row>
    <row r="192" spans="1:37" ht="15.95" customHeight="1">
      <c r="A192" s="150"/>
      <c r="B192" s="150"/>
      <c r="C192" s="150"/>
      <c r="D192" s="150"/>
      <c r="E192" s="150"/>
      <c r="F192" s="150"/>
      <c r="G192" s="150"/>
      <c r="H192" s="151"/>
      <c r="I192" s="150"/>
      <c r="J192" s="150"/>
      <c r="K192" s="150"/>
      <c r="L192" s="150"/>
      <c r="M192" s="208"/>
      <c r="N192" s="208"/>
      <c r="O192" s="208"/>
      <c r="AA192" s="6"/>
      <c r="AB192" s="6"/>
      <c r="AC192" s="6"/>
      <c r="AD192" s="6"/>
      <c r="AE192" s="6"/>
      <c r="AF192" s="6"/>
      <c r="AG192" s="4"/>
      <c r="AH192" s="4"/>
      <c r="AI192" s="4"/>
      <c r="AJ192" s="1"/>
      <c r="AK192" s="1"/>
    </row>
    <row r="193" spans="1:37" ht="15.95" customHeight="1">
      <c r="A193" s="150"/>
      <c r="B193" s="150"/>
      <c r="C193" s="150"/>
      <c r="D193" s="150"/>
      <c r="E193" s="150"/>
      <c r="F193" s="150"/>
      <c r="G193" s="150"/>
      <c r="H193" s="151"/>
      <c r="I193" s="150"/>
      <c r="J193" s="150"/>
      <c r="K193" s="150"/>
      <c r="L193" s="150"/>
      <c r="M193" s="208"/>
      <c r="N193" s="235"/>
      <c r="O193" s="215"/>
      <c r="S193" s="54"/>
      <c r="AA193" s="6"/>
      <c r="AB193" s="6"/>
      <c r="AC193" s="6"/>
      <c r="AG193" s="1"/>
      <c r="AH193" s="1"/>
      <c r="AI193" s="1"/>
      <c r="AJ193" s="1"/>
      <c r="AK193" s="1"/>
    </row>
    <row r="194" spans="1:37" ht="15.95" customHeight="1">
      <c r="A194" s="150"/>
      <c r="B194" s="150"/>
      <c r="C194" s="150"/>
      <c r="D194" s="150"/>
      <c r="E194" s="150"/>
      <c r="F194" s="150"/>
      <c r="G194" s="150"/>
      <c r="H194" s="151"/>
      <c r="I194" s="150"/>
      <c r="J194" s="150"/>
      <c r="K194" s="150"/>
      <c r="L194" s="150"/>
      <c r="M194" s="208"/>
      <c r="N194" s="236"/>
      <c r="O194" s="215"/>
      <c r="AG194" s="1"/>
      <c r="AH194" s="1"/>
      <c r="AI194" s="1"/>
      <c r="AJ194" s="1"/>
      <c r="AK194" s="1"/>
    </row>
    <row r="195" spans="1:37" ht="15.95" customHeight="1">
      <c r="A195" s="150"/>
      <c r="B195" s="150"/>
      <c r="C195" s="150"/>
      <c r="D195" s="150"/>
      <c r="E195" s="150"/>
      <c r="F195" s="150"/>
      <c r="G195" s="150"/>
      <c r="H195" s="151"/>
      <c r="I195" s="150"/>
      <c r="J195" s="150"/>
      <c r="K195" s="150"/>
      <c r="L195" s="150"/>
      <c r="M195" s="208"/>
      <c r="N195" s="236"/>
      <c r="O195" s="215"/>
      <c r="AG195" s="1"/>
      <c r="AH195" s="1"/>
      <c r="AI195" s="1"/>
      <c r="AJ195" s="1"/>
      <c r="AK195" s="1"/>
    </row>
    <row r="196" spans="1:37" ht="15.95" customHeight="1">
      <c r="A196" s="150"/>
      <c r="B196" s="150"/>
      <c r="C196" s="150"/>
      <c r="D196" s="150"/>
      <c r="E196" s="150"/>
      <c r="F196" s="150"/>
      <c r="G196" s="150"/>
      <c r="H196" s="151"/>
      <c r="I196" s="150"/>
      <c r="J196" s="150"/>
      <c r="K196" s="150"/>
      <c r="L196" s="150"/>
      <c r="M196" s="208"/>
      <c r="N196" s="208"/>
      <c r="O196" s="215"/>
      <c r="AG196" s="1"/>
      <c r="AH196" s="1"/>
      <c r="AI196" s="1"/>
      <c r="AJ196" s="1"/>
      <c r="AK196" s="1"/>
    </row>
    <row r="197" spans="1:37" ht="15.95" customHeight="1">
      <c r="A197" s="150"/>
      <c r="B197" s="150"/>
      <c r="C197" s="150"/>
      <c r="D197" s="150"/>
      <c r="E197" s="150"/>
      <c r="F197" s="150"/>
      <c r="G197" s="150"/>
      <c r="H197" s="151"/>
      <c r="I197" s="150"/>
      <c r="J197" s="150"/>
      <c r="K197" s="150"/>
      <c r="L197" s="150"/>
      <c r="M197" s="208"/>
      <c r="N197" s="236"/>
      <c r="O197" s="215"/>
      <c r="AG197" s="1"/>
      <c r="AH197" s="1"/>
      <c r="AI197" s="1"/>
      <c r="AJ197" s="1"/>
      <c r="AK197" s="1"/>
    </row>
    <row r="198" spans="1:37" ht="15.95" customHeight="1">
      <c r="A198" s="150"/>
      <c r="B198" s="150"/>
      <c r="C198" s="150"/>
      <c r="D198" s="150"/>
      <c r="E198" s="150"/>
      <c r="F198" s="150"/>
      <c r="G198" s="150"/>
      <c r="H198" s="151"/>
      <c r="I198" s="150"/>
      <c r="J198" s="150"/>
      <c r="K198" s="150"/>
      <c r="L198" s="150"/>
      <c r="M198" s="208"/>
      <c r="N198" s="237"/>
      <c r="O198" s="150"/>
      <c r="AB198" s="1"/>
      <c r="AC198" s="1"/>
      <c r="AD198" s="1"/>
      <c r="AE198" s="1"/>
      <c r="AF198" s="1"/>
      <c r="AG198" s="1"/>
      <c r="AH198" s="1"/>
      <c r="AI198" s="1"/>
      <c r="AJ198" s="1"/>
      <c r="AK198" s="1"/>
    </row>
    <row r="199" spans="1:37" ht="15.95" customHeight="1">
      <c r="A199" s="150"/>
      <c r="B199" s="150"/>
      <c r="C199" s="150"/>
      <c r="D199" s="150"/>
      <c r="E199" s="150"/>
      <c r="F199" s="150"/>
      <c r="G199" s="150"/>
      <c r="H199" s="151"/>
      <c r="I199" s="150"/>
      <c r="J199" s="150"/>
      <c r="K199" s="150"/>
      <c r="L199" s="150"/>
      <c r="M199" s="208"/>
      <c r="N199" s="237"/>
      <c r="O199" s="150"/>
      <c r="AB199" s="1"/>
      <c r="AC199" s="1"/>
      <c r="AD199" s="1"/>
      <c r="AE199" s="1"/>
      <c r="AF199" s="1"/>
      <c r="AG199" s="1"/>
      <c r="AH199" s="1"/>
      <c r="AI199" s="1"/>
      <c r="AJ199" s="1"/>
      <c r="AK199" s="1"/>
    </row>
    <row r="200" spans="1:37" ht="15.95" customHeight="1">
      <c r="A200" s="150"/>
      <c r="B200" s="150"/>
      <c r="C200" s="150"/>
      <c r="D200" s="150"/>
      <c r="E200" s="150"/>
      <c r="F200" s="150"/>
      <c r="G200" s="150"/>
      <c r="H200" s="151"/>
      <c r="I200" s="150"/>
      <c r="J200" s="150"/>
      <c r="K200" s="150"/>
      <c r="L200" s="150"/>
      <c r="M200" s="208"/>
      <c r="N200" s="237"/>
      <c r="O200" s="150"/>
      <c r="AB200" s="1"/>
      <c r="AC200" s="1"/>
      <c r="AD200" s="1"/>
      <c r="AE200" s="1"/>
      <c r="AF200" s="1"/>
      <c r="AG200" s="1"/>
      <c r="AH200" s="1"/>
      <c r="AI200" s="1"/>
      <c r="AJ200" s="1"/>
      <c r="AK200" s="1"/>
    </row>
    <row r="201" spans="1:37" ht="15.95" customHeight="1">
      <c r="A201" s="150"/>
      <c r="B201" s="150"/>
      <c r="C201" s="150"/>
      <c r="D201" s="150"/>
      <c r="E201" s="150"/>
      <c r="F201" s="150"/>
      <c r="G201" s="150"/>
      <c r="H201" s="151"/>
      <c r="I201" s="150"/>
      <c r="J201" s="150"/>
      <c r="K201" s="150"/>
      <c r="L201" s="150"/>
      <c r="M201" s="208"/>
      <c r="N201" s="237"/>
      <c r="O201" s="150"/>
      <c r="AB201" s="1"/>
      <c r="AC201" s="1"/>
      <c r="AD201" s="1"/>
      <c r="AE201" s="1"/>
      <c r="AF201" s="1"/>
      <c r="AG201" s="1"/>
      <c r="AH201" s="1"/>
      <c r="AI201" s="1"/>
      <c r="AJ201" s="1"/>
      <c r="AK201" s="1"/>
    </row>
    <row r="202" spans="1:37" ht="15.95" customHeight="1">
      <c r="A202" s="150"/>
      <c r="B202" s="150"/>
      <c r="C202" s="150"/>
      <c r="D202" s="150"/>
      <c r="E202" s="150"/>
      <c r="F202" s="150"/>
      <c r="G202" s="150"/>
      <c r="H202" s="151"/>
      <c r="I202" s="150"/>
      <c r="J202" s="150"/>
      <c r="K202" s="150"/>
      <c r="L202" s="150"/>
      <c r="M202" s="208"/>
      <c r="N202" s="237"/>
      <c r="O202" s="150"/>
      <c r="AB202" s="1"/>
      <c r="AC202" s="1"/>
      <c r="AD202" s="1"/>
      <c r="AE202" s="1"/>
      <c r="AF202" s="1"/>
      <c r="AG202" s="1"/>
      <c r="AH202" s="1"/>
      <c r="AI202" s="1"/>
      <c r="AJ202" s="1"/>
      <c r="AK202" s="1"/>
    </row>
    <row r="203" spans="1:37" ht="15.95" customHeight="1">
      <c r="A203" s="150"/>
      <c r="B203" s="150"/>
      <c r="C203" s="150"/>
      <c r="D203" s="150"/>
      <c r="E203" s="150"/>
      <c r="F203" s="150"/>
      <c r="G203" s="150"/>
      <c r="H203" s="151"/>
      <c r="I203" s="150"/>
      <c r="J203" s="150"/>
      <c r="K203" s="150"/>
      <c r="L203" s="150"/>
      <c r="M203" s="208"/>
      <c r="N203" s="237"/>
      <c r="O203" s="150"/>
      <c r="AB203" s="1"/>
      <c r="AC203" s="1"/>
      <c r="AD203" s="1"/>
      <c r="AE203" s="1"/>
      <c r="AF203" s="1"/>
      <c r="AG203" s="1"/>
      <c r="AH203" s="1"/>
      <c r="AI203" s="1"/>
      <c r="AJ203" s="1"/>
      <c r="AK203" s="1"/>
    </row>
    <row r="204" spans="1:37" ht="15.95" customHeight="1">
      <c r="A204" s="150"/>
      <c r="B204" s="150"/>
      <c r="C204" s="150"/>
      <c r="D204" s="150"/>
      <c r="E204" s="150"/>
      <c r="F204" s="150"/>
      <c r="G204" s="150"/>
      <c r="H204" s="151"/>
      <c r="I204" s="150"/>
      <c r="J204" s="150"/>
      <c r="K204" s="150"/>
      <c r="L204" s="150"/>
      <c r="M204" s="208"/>
      <c r="N204" s="237"/>
      <c r="O204" s="150"/>
      <c r="AB204" s="1"/>
      <c r="AC204" s="1"/>
      <c r="AD204" s="1"/>
      <c r="AE204" s="1"/>
      <c r="AF204" s="1"/>
      <c r="AG204" s="1"/>
      <c r="AH204" s="1"/>
      <c r="AI204" s="1"/>
      <c r="AJ204" s="1"/>
      <c r="AK204" s="1"/>
    </row>
    <row r="205" spans="1:37" ht="15.95" customHeight="1">
      <c r="A205" s="150"/>
      <c r="B205" s="150"/>
      <c r="C205" s="150"/>
      <c r="D205" s="150"/>
      <c r="E205" s="150"/>
      <c r="F205" s="150"/>
      <c r="G205" s="150"/>
      <c r="H205" s="151"/>
      <c r="I205" s="150"/>
      <c r="J205" s="150"/>
      <c r="K205" s="150"/>
      <c r="L205" s="150"/>
      <c r="M205" s="208"/>
      <c r="N205" s="237"/>
      <c r="O205" s="150"/>
      <c r="AB205" s="1"/>
      <c r="AC205" s="1"/>
      <c r="AD205" s="1"/>
      <c r="AE205" s="1"/>
      <c r="AF205" s="1"/>
      <c r="AG205" s="1"/>
      <c r="AH205" s="1"/>
      <c r="AI205" s="1"/>
      <c r="AJ205" s="1"/>
      <c r="AK205" s="1"/>
    </row>
    <row r="206" spans="1:37" ht="15.95" customHeight="1">
      <c r="A206" s="150"/>
      <c r="B206" s="150"/>
      <c r="C206" s="150"/>
      <c r="D206" s="150"/>
      <c r="E206" s="150"/>
      <c r="F206" s="150"/>
      <c r="G206" s="150"/>
      <c r="H206" s="151"/>
      <c r="I206" s="150"/>
      <c r="J206" s="150"/>
      <c r="K206" s="150"/>
      <c r="L206" s="150"/>
      <c r="M206" s="208"/>
      <c r="N206" s="237"/>
      <c r="O206" s="150"/>
      <c r="AB206" s="1"/>
      <c r="AC206" s="1"/>
      <c r="AD206" s="1"/>
      <c r="AE206" s="1"/>
      <c r="AF206" s="1"/>
      <c r="AG206" s="1"/>
      <c r="AH206" s="1"/>
      <c r="AI206" s="1"/>
      <c r="AJ206" s="1"/>
      <c r="AK206" s="1"/>
    </row>
    <row r="207" spans="1:37" ht="15.95" customHeight="1">
      <c r="A207" s="150"/>
      <c r="B207" s="150"/>
      <c r="C207" s="150"/>
      <c r="D207" s="150"/>
      <c r="E207" s="150"/>
      <c r="F207" s="150"/>
      <c r="G207" s="150"/>
      <c r="H207" s="151"/>
      <c r="I207" s="150"/>
      <c r="J207" s="150"/>
      <c r="K207" s="150"/>
      <c r="L207" s="150"/>
      <c r="M207" s="208"/>
      <c r="N207" s="237"/>
      <c r="O207" s="150"/>
      <c r="AB207" s="1"/>
      <c r="AC207" s="1"/>
      <c r="AD207" s="1"/>
      <c r="AE207" s="1"/>
      <c r="AF207" s="1"/>
      <c r="AG207" s="1"/>
      <c r="AH207" s="1"/>
      <c r="AI207" s="1"/>
      <c r="AJ207" s="1"/>
      <c r="AK207" s="1"/>
    </row>
    <row r="208" spans="1:37" ht="15.95" customHeight="1">
      <c r="A208" s="150"/>
      <c r="B208" s="150"/>
      <c r="C208" s="150"/>
      <c r="D208" s="150"/>
      <c r="E208" s="150"/>
      <c r="F208" s="150"/>
      <c r="G208" s="150"/>
      <c r="H208" s="151"/>
      <c r="I208" s="150"/>
      <c r="J208" s="150"/>
      <c r="K208" s="150"/>
      <c r="L208" s="150"/>
      <c r="M208" s="208"/>
      <c r="N208" s="237"/>
      <c r="O208" s="150"/>
      <c r="AB208" s="1"/>
      <c r="AC208" s="1"/>
      <c r="AD208" s="1"/>
      <c r="AE208" s="1"/>
      <c r="AF208" s="1"/>
      <c r="AG208" s="1"/>
      <c r="AH208" s="1"/>
      <c r="AI208" s="1"/>
      <c r="AJ208" s="1"/>
      <c r="AK208" s="1"/>
    </row>
    <row r="209" spans="1:37" ht="15.95" customHeight="1">
      <c r="A209" s="150"/>
      <c r="B209" s="150"/>
      <c r="C209" s="150"/>
      <c r="D209" s="150"/>
      <c r="E209" s="150"/>
      <c r="F209" s="150"/>
      <c r="G209" s="150"/>
      <c r="H209" s="151"/>
      <c r="I209" s="150"/>
      <c r="J209" s="150"/>
      <c r="K209" s="150"/>
      <c r="L209" s="150"/>
      <c r="M209" s="208"/>
      <c r="N209" s="237"/>
      <c r="O209" s="150"/>
      <c r="AB209" s="1"/>
      <c r="AC209" s="1"/>
      <c r="AD209" s="1"/>
      <c r="AE209" s="1"/>
      <c r="AF209" s="1"/>
      <c r="AG209" s="1"/>
      <c r="AH209" s="1"/>
      <c r="AI209" s="1"/>
      <c r="AJ209" s="1"/>
      <c r="AK209" s="1"/>
    </row>
    <row r="210" spans="1:37" ht="15.95" customHeight="1">
      <c r="A210" s="150"/>
      <c r="B210" s="150"/>
      <c r="C210" s="150"/>
      <c r="D210" s="150"/>
      <c r="E210" s="150"/>
      <c r="F210" s="150"/>
      <c r="G210" s="150"/>
      <c r="H210" s="151"/>
      <c r="I210" s="150"/>
      <c r="J210" s="150"/>
      <c r="K210" s="150"/>
      <c r="L210" s="150"/>
      <c r="M210" s="208"/>
      <c r="N210" s="237"/>
      <c r="O210" s="150"/>
      <c r="AB210" s="1"/>
      <c r="AC210" s="1"/>
      <c r="AD210" s="1"/>
      <c r="AE210" s="1"/>
      <c r="AF210" s="1"/>
      <c r="AG210" s="1"/>
      <c r="AH210" s="1"/>
      <c r="AI210" s="1"/>
      <c r="AJ210" s="1"/>
      <c r="AK210" s="1"/>
    </row>
    <row r="211" spans="1:37" ht="15.95" customHeight="1">
      <c r="A211" s="150"/>
      <c r="B211" s="150"/>
      <c r="C211" s="150"/>
      <c r="D211" s="150"/>
      <c r="E211" s="150"/>
      <c r="F211" s="150"/>
      <c r="G211" s="150"/>
      <c r="H211" s="151"/>
      <c r="I211" s="150"/>
      <c r="J211" s="150"/>
      <c r="K211" s="150"/>
      <c r="L211" s="150"/>
      <c r="M211" s="208"/>
      <c r="N211" s="237"/>
      <c r="O211" s="150"/>
      <c r="AB211" s="1"/>
      <c r="AC211" s="1"/>
      <c r="AD211" s="1"/>
      <c r="AE211" s="1"/>
      <c r="AF211" s="1"/>
      <c r="AG211" s="1"/>
      <c r="AH211" s="1"/>
      <c r="AI211" s="1"/>
      <c r="AJ211" s="1"/>
      <c r="AK211" s="1"/>
    </row>
    <row r="212" spans="1:37" ht="15.95" customHeight="1">
      <c r="A212" s="150"/>
      <c r="B212" s="150"/>
      <c r="C212" s="150"/>
      <c r="D212" s="150"/>
      <c r="E212" s="150"/>
      <c r="F212" s="150"/>
      <c r="G212" s="150"/>
      <c r="H212" s="151"/>
      <c r="I212" s="150"/>
      <c r="J212" s="150"/>
      <c r="K212" s="150"/>
      <c r="L212" s="150"/>
      <c r="M212" s="208"/>
      <c r="N212" s="237"/>
      <c r="O212" s="150"/>
      <c r="AB212" s="1"/>
      <c r="AC212" s="1"/>
      <c r="AD212" s="1"/>
      <c r="AE212" s="1"/>
      <c r="AF212" s="1"/>
      <c r="AG212" s="1"/>
      <c r="AH212" s="1"/>
      <c r="AI212" s="1"/>
      <c r="AJ212" s="1"/>
      <c r="AK212" s="1"/>
    </row>
    <row r="213" spans="1:37" s="68" customFormat="1" ht="15.95" customHeight="1">
      <c r="A213" s="150"/>
      <c r="B213" s="150"/>
      <c r="C213" s="150"/>
      <c r="D213" s="150"/>
      <c r="E213" s="150"/>
      <c r="F213" s="150"/>
      <c r="G213" s="150"/>
      <c r="H213" s="150"/>
      <c r="I213" s="150"/>
      <c r="J213" s="150"/>
      <c r="K213" s="150"/>
      <c r="L213" s="150"/>
      <c r="M213" s="208"/>
      <c r="N213" s="237"/>
      <c r="O213" s="150"/>
      <c r="AB213" s="1"/>
      <c r="AC213" s="1"/>
      <c r="AD213" s="1"/>
      <c r="AE213" s="1"/>
      <c r="AF213" s="1"/>
      <c r="AG213" s="1"/>
      <c r="AH213" s="1"/>
      <c r="AI213" s="1"/>
      <c r="AJ213" s="1"/>
      <c r="AK213" s="1"/>
    </row>
    <row r="214" spans="1:37" s="68" customFormat="1" ht="15.95" customHeight="1">
      <c r="A214" s="150"/>
      <c r="B214" s="150"/>
      <c r="C214" s="150"/>
      <c r="D214" s="150"/>
      <c r="E214" s="150"/>
      <c r="F214" s="150"/>
      <c r="G214" s="150"/>
      <c r="H214" s="150"/>
      <c r="I214" s="150"/>
      <c r="J214" s="150"/>
      <c r="K214" s="150"/>
      <c r="L214" s="150"/>
      <c r="M214" s="208"/>
      <c r="N214" s="237"/>
      <c r="O214" s="150"/>
      <c r="AB214" s="1"/>
      <c r="AC214" s="1"/>
      <c r="AD214" s="1"/>
      <c r="AE214" s="1"/>
      <c r="AF214" s="1"/>
      <c r="AG214" s="1"/>
      <c r="AH214" s="1"/>
      <c r="AI214" s="1"/>
      <c r="AJ214" s="1"/>
      <c r="AK214" s="1"/>
    </row>
    <row r="215" spans="1:37" s="68" customFormat="1" ht="15.95" customHeight="1">
      <c r="A215" s="150"/>
      <c r="B215" s="150"/>
      <c r="C215" s="150"/>
      <c r="D215" s="150"/>
      <c r="E215" s="150"/>
      <c r="F215" s="150"/>
      <c r="G215" s="150"/>
      <c r="H215" s="150"/>
      <c r="I215" s="150"/>
      <c r="J215" s="150"/>
      <c r="K215" s="150"/>
      <c r="L215" s="150"/>
      <c r="M215" s="208"/>
      <c r="N215" s="237"/>
      <c r="O215" s="150"/>
      <c r="AB215" s="1"/>
      <c r="AC215" s="1"/>
      <c r="AD215" s="1"/>
      <c r="AE215" s="1"/>
      <c r="AF215" s="1"/>
      <c r="AG215" s="1"/>
      <c r="AH215" s="1"/>
      <c r="AI215" s="1"/>
      <c r="AJ215" s="1"/>
      <c r="AK215" s="1"/>
    </row>
    <row r="216" spans="1:37" ht="15.95" customHeight="1">
      <c r="A216" s="150"/>
      <c r="B216" s="150"/>
      <c r="C216" s="150"/>
      <c r="D216" s="150"/>
      <c r="E216" s="150"/>
      <c r="F216" s="150"/>
      <c r="G216" s="150"/>
      <c r="H216" s="151"/>
      <c r="I216" s="150"/>
      <c r="J216" s="150"/>
      <c r="K216" s="150"/>
      <c r="L216" s="150"/>
      <c r="M216" s="208"/>
      <c r="N216" s="237"/>
      <c r="O216" s="150"/>
      <c r="AB216" s="1"/>
      <c r="AC216" s="1"/>
      <c r="AD216" s="1"/>
      <c r="AE216" s="1"/>
      <c r="AF216" s="1"/>
      <c r="AG216" s="1"/>
      <c r="AH216" s="1"/>
      <c r="AI216" s="1"/>
      <c r="AJ216" s="1"/>
      <c r="AK216" s="1"/>
    </row>
    <row r="217" spans="1:37" ht="15.95" customHeight="1">
      <c r="A217" s="150"/>
      <c r="B217" s="150"/>
      <c r="C217" s="150"/>
      <c r="D217" s="150"/>
      <c r="E217" s="150"/>
      <c r="F217" s="150"/>
      <c r="G217" s="150"/>
      <c r="H217" s="151"/>
      <c r="I217" s="150"/>
      <c r="J217" s="150"/>
      <c r="K217" s="150"/>
      <c r="L217" s="150"/>
      <c r="M217" s="208"/>
      <c r="N217" s="237"/>
      <c r="O217" s="150"/>
      <c r="AB217" s="1"/>
      <c r="AC217" s="1"/>
      <c r="AD217" s="1"/>
      <c r="AE217" s="1"/>
      <c r="AF217" s="1"/>
      <c r="AG217" s="1"/>
      <c r="AH217" s="1"/>
      <c r="AI217" s="1"/>
      <c r="AJ217" s="1"/>
      <c r="AK217" s="1"/>
    </row>
    <row r="218" spans="1:37" s="67" customFormat="1" ht="15.95" customHeight="1">
      <c r="A218" s="150"/>
      <c r="B218" s="150"/>
      <c r="C218" s="150"/>
      <c r="D218" s="150"/>
      <c r="E218" s="150"/>
      <c r="F218" s="150"/>
      <c r="G218" s="150"/>
      <c r="H218" s="150"/>
      <c r="I218" s="150"/>
      <c r="J218" s="150"/>
      <c r="K218" s="150"/>
      <c r="L218" s="150"/>
      <c r="M218" s="208"/>
      <c r="N218" s="237"/>
      <c r="O218" s="150"/>
      <c r="AB218" s="1"/>
      <c r="AC218" s="1"/>
      <c r="AD218" s="1"/>
      <c r="AE218" s="1"/>
      <c r="AF218" s="1"/>
      <c r="AG218" s="1"/>
      <c r="AH218" s="1"/>
      <c r="AI218" s="1"/>
      <c r="AJ218" s="1"/>
      <c r="AK218" s="1"/>
    </row>
    <row r="219" spans="1:37" s="67" customFormat="1" ht="15.95" customHeight="1">
      <c r="A219" s="150"/>
      <c r="B219" s="150"/>
      <c r="C219" s="150"/>
      <c r="D219" s="150"/>
      <c r="E219" s="150"/>
      <c r="F219" s="150"/>
      <c r="G219" s="150"/>
      <c r="H219" s="150"/>
      <c r="I219" s="150"/>
      <c r="J219" s="150"/>
      <c r="K219" s="150"/>
      <c r="L219" s="150"/>
      <c r="M219" s="208"/>
      <c r="N219" s="237"/>
      <c r="O219" s="150"/>
      <c r="AB219" s="1"/>
      <c r="AC219" s="1"/>
      <c r="AD219" s="1"/>
      <c r="AE219" s="1"/>
      <c r="AF219" s="1"/>
      <c r="AG219" s="1"/>
      <c r="AH219" s="1"/>
      <c r="AI219" s="1"/>
      <c r="AJ219" s="1"/>
      <c r="AK219" s="1"/>
    </row>
    <row r="220" spans="1:37" ht="15.95" customHeight="1">
      <c r="A220" s="150"/>
      <c r="B220" s="150"/>
      <c r="C220" s="150"/>
      <c r="D220" s="150"/>
      <c r="E220" s="150"/>
      <c r="F220" s="150"/>
      <c r="G220" s="150"/>
      <c r="H220" s="151"/>
      <c r="I220" s="150"/>
      <c r="J220" s="150"/>
      <c r="K220" s="150"/>
      <c r="L220" s="150"/>
      <c r="M220" s="208"/>
      <c r="N220" s="237"/>
      <c r="O220" s="150"/>
      <c r="AB220" s="1"/>
      <c r="AC220" s="1"/>
      <c r="AD220" s="1"/>
      <c r="AE220" s="1"/>
      <c r="AF220" s="1"/>
      <c r="AG220" s="1"/>
      <c r="AH220" s="1"/>
      <c r="AI220" s="1"/>
      <c r="AJ220" s="1"/>
      <c r="AK220" s="1"/>
    </row>
    <row r="221" spans="1:37" ht="15.95" customHeight="1">
      <c r="A221" s="150"/>
      <c r="B221" s="150"/>
      <c r="C221" s="150"/>
      <c r="D221" s="150"/>
      <c r="E221" s="150"/>
      <c r="F221" s="150"/>
      <c r="G221" s="150"/>
      <c r="H221" s="151"/>
      <c r="I221" s="150"/>
      <c r="J221" s="150"/>
      <c r="K221" s="150"/>
      <c r="L221" s="150"/>
      <c r="M221" s="208"/>
      <c r="N221" s="237"/>
      <c r="O221" s="150"/>
      <c r="AB221" s="1"/>
      <c r="AC221" s="1"/>
      <c r="AD221" s="1"/>
      <c r="AE221" s="1"/>
      <c r="AF221" s="1"/>
      <c r="AG221" s="1"/>
      <c r="AH221" s="1"/>
      <c r="AI221" s="1"/>
      <c r="AJ221" s="1"/>
      <c r="AK221" s="1"/>
    </row>
    <row r="222" spans="1:37" s="90" customFormat="1" ht="15.95" customHeight="1">
      <c r="A222" s="238" t="str">
        <f>+A224</f>
        <v>A.P.K.V.I.B.,</v>
      </c>
      <c r="B222" s="238" t="str">
        <f>+B224</f>
        <v>Ranga Reddy</v>
      </c>
      <c r="C222" s="238" t="str">
        <f>+C224</f>
        <v>Dy.Director,</v>
      </c>
      <c r="D222" s="150"/>
      <c r="E222" s="238" t="str">
        <f>+G231</f>
        <v>Food &amp; Agro Based Industry</v>
      </c>
      <c r="F222" s="231" t="str">
        <f>+F224</f>
        <v>-New Unit-  N.A.,</v>
      </c>
      <c r="G222" s="231" t="str">
        <f>+G224</f>
        <v>Kindly forward this Proposal to Task Force Committee for approval to consider under  .</v>
      </c>
      <c r="H222" s="150"/>
      <c r="I222" s="150"/>
      <c r="J222" s="150"/>
      <c r="K222" s="150"/>
      <c r="L222" s="150"/>
      <c r="M222" s="208"/>
      <c r="N222" s="237"/>
      <c r="O222" s="150"/>
      <c r="AB222" s="1"/>
      <c r="AC222" s="1"/>
      <c r="AD222" s="1"/>
      <c r="AE222" s="1"/>
      <c r="AF222" s="1"/>
      <c r="AG222" s="1"/>
      <c r="AH222" s="1"/>
      <c r="AI222" s="1"/>
      <c r="AJ222" s="1"/>
      <c r="AK222" s="1"/>
    </row>
    <row r="223" spans="1:37" s="90" customFormat="1" ht="15.95" customHeight="1">
      <c r="A223" s="239" t="s">
        <v>67</v>
      </c>
      <c r="B223" s="239" t="s">
        <v>67</v>
      </c>
      <c r="C223" s="239" t="s">
        <v>67</v>
      </c>
      <c r="D223" s="239" t="s">
        <v>67</v>
      </c>
      <c r="E223" s="239" t="s">
        <v>67</v>
      </c>
      <c r="F223" s="239" t="s">
        <v>67</v>
      </c>
      <c r="G223" s="239" t="s">
        <v>67</v>
      </c>
      <c r="H223" s="150"/>
      <c r="I223" s="150"/>
      <c r="J223" s="150"/>
      <c r="K223" s="150"/>
      <c r="L223" s="150"/>
      <c r="M223" s="208"/>
      <c r="N223" s="237"/>
      <c r="O223" s="150"/>
      <c r="AB223" s="1"/>
      <c r="AC223" s="1"/>
      <c r="AD223" s="1"/>
      <c r="AE223" s="1"/>
      <c r="AF223" s="1"/>
      <c r="AG223" s="1"/>
      <c r="AH223" s="1"/>
      <c r="AI223" s="1"/>
      <c r="AJ223" s="1"/>
      <c r="AK223" s="1"/>
    </row>
    <row r="224" spans="1:37" s="90" customFormat="1" ht="15.95" customHeight="1">
      <c r="A224" s="152" t="s">
        <v>330</v>
      </c>
      <c r="B224" s="240" t="str">
        <f>+$G$18</f>
        <v>Ranga Reddy</v>
      </c>
      <c r="C224" s="152" t="s">
        <v>329</v>
      </c>
      <c r="D224" s="241" t="s">
        <v>9</v>
      </c>
      <c r="E224" s="242" t="s">
        <v>22</v>
      </c>
      <c r="F224" s="243" t="s">
        <v>5</v>
      </c>
      <c r="G224" s="244" t="str">
        <f>CONCATENATE("Kindly forward this Proposal to Task Force Committee for approval to consider under  ",E113,".")</f>
        <v>Kindly forward this Proposal to Task Force Committee for approval to consider under  .</v>
      </c>
      <c r="H224" s="150"/>
      <c r="I224" s="150"/>
      <c r="J224" s="150"/>
      <c r="K224" s="150"/>
      <c r="L224" s="150"/>
      <c r="M224" s="208"/>
      <c r="N224" s="237"/>
      <c r="O224" s="150"/>
      <c r="AB224" s="1"/>
      <c r="AC224" s="1"/>
      <c r="AD224" s="1"/>
      <c r="AE224" s="1"/>
      <c r="AF224" s="1"/>
      <c r="AG224" s="1"/>
      <c r="AH224" s="1"/>
      <c r="AI224" s="1"/>
      <c r="AJ224" s="1"/>
      <c r="AK224" s="1"/>
    </row>
    <row r="225" spans="1:37" s="90" customFormat="1" ht="15.95" customHeight="1">
      <c r="A225" s="152" t="s">
        <v>265</v>
      </c>
      <c r="B225" s="152" t="s">
        <v>245</v>
      </c>
      <c r="C225" s="152" t="s">
        <v>251</v>
      </c>
      <c r="D225" s="241" t="s">
        <v>17</v>
      </c>
      <c r="E225" s="242" t="s">
        <v>23</v>
      </c>
      <c r="F225" s="245" t="s">
        <v>293</v>
      </c>
      <c r="G225" s="242" t="s">
        <v>294</v>
      </c>
      <c r="H225" s="150"/>
      <c r="I225" s="150"/>
      <c r="J225" s="150"/>
      <c r="K225" s="150"/>
      <c r="L225" s="150"/>
      <c r="M225" s="208"/>
      <c r="N225" s="237"/>
      <c r="O225" s="150"/>
      <c r="AB225" s="1"/>
      <c r="AC225" s="1"/>
      <c r="AD225" s="1"/>
      <c r="AE225" s="1"/>
      <c r="AF225" s="1"/>
      <c r="AG225" s="1"/>
      <c r="AH225" s="1"/>
      <c r="AI225" s="1"/>
      <c r="AJ225" s="1"/>
      <c r="AK225" s="1"/>
    </row>
    <row r="226" spans="1:37" s="90" customFormat="1" ht="15.95" customHeight="1">
      <c r="A226" s="152" t="s">
        <v>266</v>
      </c>
      <c r="B226" s="240" t="str">
        <f>+$G$18</f>
        <v>Ranga Reddy</v>
      </c>
      <c r="C226" s="152" t="s">
        <v>375</v>
      </c>
      <c r="D226" s="241" t="s">
        <v>10</v>
      </c>
      <c r="E226" s="242" t="s">
        <v>24</v>
      </c>
      <c r="F226" s="150" t="s">
        <v>92</v>
      </c>
      <c r="G226" s="150"/>
      <c r="H226" s="150"/>
      <c r="I226" s="150"/>
      <c r="J226" s="150"/>
      <c r="K226" s="150"/>
      <c r="L226" s="150"/>
      <c r="M226" s="208"/>
      <c r="N226" s="237"/>
      <c r="O226" s="150"/>
      <c r="AB226" s="1"/>
      <c r="AC226" s="1"/>
      <c r="AD226" s="1"/>
      <c r="AE226" s="1"/>
      <c r="AF226" s="1"/>
      <c r="AG226" s="1"/>
      <c r="AH226" s="1"/>
      <c r="AI226" s="1"/>
      <c r="AJ226" s="1"/>
      <c r="AK226" s="1"/>
    </row>
    <row r="227" spans="1:37" s="90" customFormat="1" ht="15.95" customHeight="1">
      <c r="A227" s="246" t="str">
        <f>+G27</f>
        <v>State Bank of India</v>
      </c>
      <c r="B227" s="247" t="s">
        <v>44</v>
      </c>
      <c r="C227" s="246" t="e">
        <f>+#REF!</f>
        <v>#REF!</v>
      </c>
      <c r="D227" s="241" t="s">
        <v>15</v>
      </c>
      <c r="E227" s="248" t="s">
        <v>25</v>
      </c>
      <c r="F227" s="150" t="s">
        <v>92</v>
      </c>
      <c r="G227" s="150"/>
      <c r="H227" s="244"/>
      <c r="I227" s="150"/>
      <c r="J227" s="150"/>
      <c r="K227" s="150"/>
      <c r="L227" s="150"/>
      <c r="M227" s="208"/>
      <c r="N227" s="237"/>
      <c r="O227" s="150"/>
      <c r="AB227" s="1"/>
      <c r="AC227" s="1"/>
      <c r="AD227" s="1"/>
      <c r="AE227" s="1"/>
      <c r="AF227" s="1"/>
      <c r="AG227" s="1"/>
      <c r="AH227" s="1"/>
      <c r="AI227" s="1"/>
      <c r="AJ227" s="1"/>
      <c r="AK227" s="1"/>
    </row>
    <row r="228" spans="1:37" s="90" customFormat="1" ht="15.95" customHeight="1">
      <c r="A228" s="152" t="s">
        <v>267</v>
      </c>
      <c r="B228" s="152" t="s">
        <v>305</v>
      </c>
      <c r="C228" s="152" t="s">
        <v>376</v>
      </c>
      <c r="D228" s="241" t="s">
        <v>270</v>
      </c>
      <c r="E228" s="242" t="s">
        <v>27</v>
      </c>
      <c r="F228" s="150" t="s">
        <v>92</v>
      </c>
      <c r="G228" s="242"/>
      <c r="H228" s="150"/>
      <c r="I228" s="150"/>
      <c r="J228" s="150"/>
      <c r="K228" s="150"/>
      <c r="L228" s="150"/>
      <c r="M228" s="208"/>
      <c r="N228" s="237"/>
      <c r="O228" s="150"/>
      <c r="AB228" s="1"/>
      <c r="AC228" s="1"/>
      <c r="AD228" s="1"/>
      <c r="AE228" s="1"/>
      <c r="AF228" s="1"/>
      <c r="AG228" s="1"/>
      <c r="AH228" s="1"/>
      <c r="AI228" s="1"/>
      <c r="AJ228" s="1"/>
      <c r="AK228" s="1"/>
    </row>
    <row r="229" spans="1:37" s="90" customFormat="1" ht="15.95" customHeight="1">
      <c r="A229" s="152" t="s">
        <v>18</v>
      </c>
      <c r="B229" s="152" t="s">
        <v>342</v>
      </c>
      <c r="C229" s="152" t="s">
        <v>304</v>
      </c>
      <c r="D229" s="241" t="s">
        <v>332</v>
      </c>
      <c r="E229" s="242" t="s">
        <v>28</v>
      </c>
      <c r="F229" s="150"/>
      <c r="G229" s="245" t="s">
        <v>27</v>
      </c>
      <c r="H229" s="150"/>
      <c r="I229" s="152" t="s">
        <v>340</v>
      </c>
      <c r="J229" s="150"/>
      <c r="K229" s="150"/>
      <c r="L229" s="150"/>
      <c r="M229" s="208"/>
      <c r="N229" s="237"/>
      <c r="O229" s="150"/>
      <c r="AB229" s="1"/>
      <c r="AC229" s="1"/>
      <c r="AD229" s="1"/>
      <c r="AE229" s="1"/>
      <c r="AF229" s="1"/>
      <c r="AG229" s="1"/>
      <c r="AH229" s="1"/>
      <c r="AI229" s="1"/>
      <c r="AJ229" s="1"/>
      <c r="AK229" s="1"/>
    </row>
    <row r="230" spans="1:37" s="90" customFormat="1" ht="15.95" customHeight="1">
      <c r="A230" s="152" t="s">
        <v>344</v>
      </c>
      <c r="B230" s="152" t="s">
        <v>343</v>
      </c>
      <c r="C230" s="152"/>
      <c r="D230" s="241" t="s">
        <v>296</v>
      </c>
      <c r="E230" s="242" t="s">
        <v>29</v>
      </c>
      <c r="F230" s="152" t="s">
        <v>378</v>
      </c>
      <c r="G230" s="152" t="s">
        <v>409</v>
      </c>
      <c r="H230" s="150"/>
      <c r="I230" s="152" t="s">
        <v>403</v>
      </c>
      <c r="J230" s="150"/>
      <c r="K230" s="150"/>
      <c r="L230" s="150"/>
      <c r="M230" s="208"/>
      <c r="N230" s="237"/>
      <c r="O230" s="150"/>
      <c r="AB230" s="1"/>
      <c r="AC230" s="1"/>
      <c r="AD230" s="1"/>
      <c r="AE230" s="1"/>
      <c r="AF230" s="1"/>
      <c r="AG230" s="1"/>
      <c r="AH230" s="1"/>
      <c r="AI230" s="1"/>
      <c r="AJ230" s="1"/>
      <c r="AK230" s="1"/>
    </row>
    <row r="231" spans="1:37" s="90" customFormat="1" ht="15.95" customHeight="1">
      <c r="A231" s="152" t="s">
        <v>422</v>
      </c>
      <c r="B231" s="152" t="s">
        <v>92</v>
      </c>
      <c r="C231" s="152"/>
      <c r="D231" s="152" t="s">
        <v>423</v>
      </c>
      <c r="E231" s="241" t="s">
        <v>271</v>
      </c>
      <c r="F231" s="150" t="s">
        <v>92</v>
      </c>
      <c r="G231" s="246" t="s">
        <v>400</v>
      </c>
      <c r="H231" s="150"/>
      <c r="I231" s="152" t="s">
        <v>380</v>
      </c>
      <c r="J231" s="150"/>
      <c r="K231" s="150"/>
      <c r="L231" s="150"/>
      <c r="M231" s="208"/>
      <c r="N231" s="237"/>
      <c r="O231" s="150"/>
      <c r="AB231" s="1"/>
      <c r="AC231" s="1"/>
      <c r="AD231" s="1"/>
      <c r="AE231" s="1"/>
      <c r="AF231" s="1"/>
      <c r="AG231" s="1"/>
      <c r="AH231" s="1"/>
      <c r="AI231" s="1"/>
      <c r="AJ231" s="1"/>
      <c r="AK231" s="1"/>
    </row>
    <row r="232" spans="1:37" s="90" customFormat="1" ht="15.95" customHeight="1">
      <c r="A232" s="152"/>
      <c r="B232" s="150"/>
      <c r="C232" s="150"/>
      <c r="D232" s="152"/>
      <c r="E232" s="152" t="s">
        <v>379</v>
      </c>
      <c r="F232" s="241"/>
      <c r="G232" s="245" t="s">
        <v>23</v>
      </c>
      <c r="H232" s="150"/>
      <c r="I232" s="152" t="s">
        <v>402</v>
      </c>
      <c r="J232" s="150"/>
      <c r="K232" s="150"/>
      <c r="L232" s="150"/>
      <c r="M232" s="208"/>
      <c r="N232" s="237"/>
      <c r="O232" s="150"/>
      <c r="AB232" s="1"/>
      <c r="AC232" s="1"/>
      <c r="AD232" s="1"/>
      <c r="AE232" s="1"/>
      <c r="AF232" s="1"/>
      <c r="AG232" s="1"/>
      <c r="AH232" s="1"/>
      <c r="AI232" s="1"/>
      <c r="AJ232" s="1"/>
      <c r="AK232" s="1"/>
    </row>
    <row r="233" spans="1:37" s="90" customFormat="1" ht="15.95" customHeight="1">
      <c r="A233" s="249" t="s">
        <v>290</v>
      </c>
      <c r="B233" s="249"/>
      <c r="C233" s="250"/>
      <c r="D233" s="150"/>
      <c r="E233" s="245" t="s">
        <v>24</v>
      </c>
      <c r="F233" s="150"/>
      <c r="G233" s="246" t="s">
        <v>408</v>
      </c>
      <c r="H233" s="150"/>
      <c r="I233" s="152" t="s">
        <v>377</v>
      </c>
      <c r="J233" s="150"/>
      <c r="K233" s="150"/>
      <c r="L233" s="150"/>
      <c r="M233" s="208"/>
      <c r="N233" s="237"/>
      <c r="O233" s="150"/>
      <c r="AB233" s="1"/>
      <c r="AC233" s="1"/>
      <c r="AD233" s="1"/>
      <c r="AE233" s="1"/>
      <c r="AF233" s="1"/>
      <c r="AG233" s="1"/>
      <c r="AH233" s="1"/>
      <c r="AI233" s="1"/>
      <c r="AJ233" s="1"/>
      <c r="AK233" s="1"/>
    </row>
    <row r="234" spans="1:37" s="90" customFormat="1" ht="15.95" customHeight="1">
      <c r="A234" s="251" t="s">
        <v>275</v>
      </c>
      <c r="B234" s="252" t="str">
        <f>+G2</f>
        <v>MASALA / SPICES MAKING UNIT</v>
      </c>
      <c r="C234" s="253"/>
      <c r="D234" s="150" t="s">
        <v>245</v>
      </c>
      <c r="E234" s="152" t="s">
        <v>407</v>
      </c>
      <c r="F234" s="150"/>
      <c r="G234" s="152" t="s">
        <v>271</v>
      </c>
      <c r="H234" s="150"/>
      <c r="I234" s="254" t="s">
        <v>25</v>
      </c>
      <c r="J234" s="150"/>
      <c r="K234" s="150"/>
      <c r="L234" s="150"/>
      <c r="M234" s="208"/>
      <c r="N234" s="237"/>
      <c r="O234" s="150"/>
      <c r="AB234" s="1"/>
      <c r="AC234" s="1"/>
      <c r="AD234" s="1"/>
      <c r="AE234" s="1"/>
      <c r="AF234" s="1"/>
      <c r="AG234" s="1"/>
      <c r="AH234" s="1"/>
      <c r="AI234" s="1"/>
      <c r="AJ234" s="1"/>
      <c r="AK234" s="1"/>
    </row>
    <row r="235" spans="1:37" s="90" customFormat="1" ht="15.95" customHeight="1">
      <c r="A235" s="251" t="s">
        <v>331</v>
      </c>
      <c r="B235" s="1163" t="s">
        <v>446</v>
      </c>
      <c r="C235" s="1163"/>
      <c r="D235" s="150" t="s">
        <v>335</v>
      </c>
      <c r="E235" s="152" t="s">
        <v>415</v>
      </c>
      <c r="F235" s="150"/>
      <c r="G235" s="152" t="s">
        <v>412</v>
      </c>
      <c r="H235" s="150"/>
      <c r="I235" s="152" t="s">
        <v>410</v>
      </c>
      <c r="J235" s="150"/>
      <c r="K235" s="150"/>
      <c r="L235" s="150"/>
      <c r="M235" s="208"/>
      <c r="N235" s="237"/>
      <c r="O235" s="150"/>
      <c r="AB235" s="1"/>
      <c r="AC235" s="1"/>
      <c r="AD235" s="1"/>
      <c r="AE235" s="1"/>
      <c r="AF235" s="1"/>
      <c r="AG235" s="1"/>
      <c r="AH235" s="1"/>
      <c r="AI235" s="1"/>
      <c r="AJ235" s="1"/>
      <c r="AK235" s="1"/>
    </row>
    <row r="236" spans="1:37" s="90" customFormat="1" ht="15.95" customHeight="1">
      <c r="A236" s="251" t="s">
        <v>289</v>
      </c>
      <c r="B236" s="1163" t="str">
        <f>+D237</f>
        <v>Peddaamberpet</v>
      </c>
      <c r="C236" s="1163"/>
      <c r="D236" s="207" t="e">
        <f>+E264</f>
        <v>#REF!</v>
      </c>
      <c r="E236" s="152" t="s">
        <v>406</v>
      </c>
      <c r="F236" s="150"/>
      <c r="G236" s="152" t="s">
        <v>405</v>
      </c>
      <c r="H236" s="150"/>
      <c r="I236" s="245" t="s">
        <v>29</v>
      </c>
      <c r="J236" s="150"/>
      <c r="K236" s="150"/>
      <c r="L236" s="150"/>
      <c r="M236" s="208"/>
      <c r="N236" s="237"/>
      <c r="O236" s="150"/>
      <c r="AB236" s="1"/>
      <c r="AC236" s="1"/>
      <c r="AD236" s="1"/>
      <c r="AE236" s="1"/>
      <c r="AF236" s="1"/>
      <c r="AG236" s="1"/>
      <c r="AH236" s="1"/>
      <c r="AI236" s="1"/>
      <c r="AJ236" s="1"/>
      <c r="AK236" s="1"/>
    </row>
    <row r="237" spans="1:37" s="90" customFormat="1" ht="15.95" customHeight="1">
      <c r="A237" s="249" t="s">
        <v>291</v>
      </c>
      <c r="B237" s="249"/>
      <c r="C237" s="150"/>
      <c r="D237" s="150" t="str">
        <f>+G17</f>
        <v>Peddaamberpet</v>
      </c>
      <c r="E237" s="152" t="s">
        <v>411</v>
      </c>
      <c r="F237" s="150"/>
      <c r="G237" s="246" t="s">
        <v>401</v>
      </c>
      <c r="H237" s="150"/>
      <c r="I237" s="152" t="s">
        <v>404</v>
      </c>
      <c r="J237" s="150"/>
      <c r="K237" s="150"/>
      <c r="L237" s="150"/>
      <c r="M237" s="208"/>
      <c r="N237" s="237"/>
      <c r="O237" s="150"/>
      <c r="AB237" s="1"/>
      <c r="AC237" s="1"/>
      <c r="AD237" s="1"/>
      <c r="AE237" s="1"/>
      <c r="AF237" s="1"/>
      <c r="AG237" s="1"/>
      <c r="AH237" s="1"/>
      <c r="AI237" s="1"/>
      <c r="AJ237" s="1"/>
      <c r="AK237" s="1"/>
    </row>
    <row r="238" spans="1:37" s="90" customFormat="1" ht="15.95" customHeight="1">
      <c r="A238" s="251" t="s">
        <v>276</v>
      </c>
      <c r="B238" s="1163" t="str">
        <f>+G3</f>
        <v>Various masala / spices powders  like mirch, dhania, turmaric etc.,</v>
      </c>
      <c r="C238" s="1163"/>
      <c r="D238" s="150"/>
      <c r="E238" s="152" t="s">
        <v>414</v>
      </c>
      <c r="F238" s="150"/>
      <c r="G238" s="152" t="s">
        <v>394</v>
      </c>
      <c r="H238" s="150"/>
      <c r="I238" s="246" t="s">
        <v>395</v>
      </c>
      <c r="J238" s="150"/>
      <c r="K238" s="150"/>
      <c r="L238" s="150"/>
      <c r="M238" s="208"/>
      <c r="N238" s="237"/>
      <c r="O238" s="150"/>
      <c r="AB238" s="1"/>
      <c r="AC238" s="1"/>
      <c r="AD238" s="1"/>
      <c r="AE238" s="1"/>
      <c r="AF238" s="1"/>
      <c r="AG238" s="1"/>
      <c r="AH238" s="1"/>
      <c r="AI238" s="1"/>
      <c r="AJ238" s="1"/>
      <c r="AK238" s="1"/>
    </row>
    <row r="239" spans="1:37" s="90" customFormat="1" ht="15.95" customHeight="1">
      <c r="A239" s="251" t="s">
        <v>277</v>
      </c>
      <c r="B239" s="1165">
        <v>1</v>
      </c>
      <c r="C239" s="1165"/>
      <c r="D239" s="150"/>
      <c r="E239" s="246" t="s">
        <v>397</v>
      </c>
      <c r="F239" s="150"/>
      <c r="G239" s="246" t="s">
        <v>396</v>
      </c>
      <c r="H239" s="150"/>
      <c r="I239" s="152" t="s">
        <v>28</v>
      </c>
      <c r="J239" s="150"/>
      <c r="K239" s="150"/>
      <c r="L239" s="150"/>
      <c r="M239" s="208"/>
      <c r="N239" s="237"/>
      <c r="O239" s="150"/>
      <c r="AB239" s="1"/>
      <c r="AC239" s="1"/>
      <c r="AD239" s="1"/>
      <c r="AE239" s="1"/>
      <c r="AF239" s="1"/>
      <c r="AG239" s="1"/>
      <c r="AH239" s="1"/>
      <c r="AI239" s="1"/>
      <c r="AJ239" s="1"/>
      <c r="AK239" s="1"/>
    </row>
    <row r="240" spans="1:37" s="90" customFormat="1" ht="15.95" customHeight="1">
      <c r="A240" s="251" t="s">
        <v>278</v>
      </c>
      <c r="B240" s="1163" t="str">
        <f>+E267</f>
        <v>Ranga Reddy</v>
      </c>
      <c r="C240" s="1163"/>
      <c r="D240" s="150"/>
      <c r="E240" s="246" t="s">
        <v>399</v>
      </c>
      <c r="F240" s="150"/>
      <c r="G240" s="245" t="s">
        <v>22</v>
      </c>
      <c r="H240" s="150"/>
      <c r="I240" s="245" t="s">
        <v>28</v>
      </c>
      <c r="J240" s="150"/>
      <c r="K240" s="150"/>
      <c r="L240" s="150"/>
      <c r="M240" s="208"/>
      <c r="N240" s="237"/>
      <c r="O240" s="150"/>
      <c r="AB240" s="1"/>
      <c r="AC240" s="1"/>
      <c r="AD240" s="1"/>
      <c r="AE240" s="1"/>
      <c r="AF240" s="1"/>
      <c r="AG240" s="1"/>
      <c r="AH240" s="1"/>
      <c r="AI240" s="1"/>
      <c r="AJ240" s="1"/>
      <c r="AK240" s="1"/>
    </row>
    <row r="241" spans="1:37" s="90" customFormat="1" ht="15.95" customHeight="1">
      <c r="A241" s="1106" t="e">
        <f>+A243</f>
        <v>#REF!</v>
      </c>
      <c r="B241" s="1106"/>
      <c r="C241" s="1106"/>
      <c r="D241" s="150"/>
      <c r="E241" s="246" t="s">
        <v>398</v>
      </c>
      <c r="F241" s="150"/>
      <c r="G241" s="152" t="s">
        <v>413</v>
      </c>
      <c r="H241" s="150"/>
      <c r="I241" s="152" t="s">
        <v>416</v>
      </c>
      <c r="J241" s="150"/>
      <c r="K241" s="150"/>
      <c r="L241" s="150"/>
      <c r="M241" s="208"/>
      <c r="N241" s="237"/>
      <c r="O241" s="150"/>
      <c r="AB241" s="1"/>
      <c r="AC241" s="1"/>
      <c r="AD241" s="1"/>
      <c r="AE241" s="1"/>
      <c r="AF241" s="1"/>
      <c r="AG241" s="1"/>
      <c r="AH241" s="1"/>
      <c r="AI241" s="1"/>
      <c r="AJ241" s="1"/>
      <c r="AK241" s="1"/>
    </row>
    <row r="242" spans="1:37" s="90" customFormat="1" ht="15.95" customHeight="1">
      <c r="A242" s="1107" t="s">
        <v>417</v>
      </c>
      <c r="B242" s="1107"/>
      <c r="C242" s="1107"/>
      <c r="D242" s="150" t="s">
        <v>92</v>
      </c>
      <c r="E242" s="150"/>
      <c r="F242" s="150"/>
      <c r="G242" s="150"/>
      <c r="H242" s="150"/>
      <c r="I242" s="150"/>
      <c r="J242" s="150"/>
      <c r="K242" s="150"/>
      <c r="L242" s="150"/>
      <c r="M242" s="208"/>
      <c r="N242" s="237"/>
      <c r="O242" s="150"/>
      <c r="AB242" s="1"/>
      <c r="AC242" s="1"/>
      <c r="AD242" s="1"/>
      <c r="AE242" s="1"/>
      <c r="AF242" s="1"/>
      <c r="AG242" s="1"/>
      <c r="AH242" s="1"/>
      <c r="AI242" s="1"/>
      <c r="AJ242" s="1"/>
      <c r="AK242" s="1"/>
    </row>
    <row r="243" spans="1:37" s="90" customFormat="1" ht="15.95" customHeight="1">
      <c r="A243" s="255" t="e">
        <f>CONCATENATE("        Presently the ",#REF!," ",#REF!," ",#REF!,"   since  last ",#REF!," years in ",G17,"  mandal  and surrounding  areas / towns   and  involved in sub leasing of the   above  items  and established relations with parties, now with the earlier practical experience gained in industry as ",#REF!,"")</f>
        <v>#REF!</v>
      </c>
      <c r="B243" s="255"/>
      <c r="C243" s="255"/>
      <c r="D243" s="150"/>
      <c r="E243" s="150"/>
      <c r="F243" s="150"/>
      <c r="G243" s="150"/>
      <c r="H243" s="150"/>
      <c r="I243" s="150"/>
      <c r="J243" s="150"/>
      <c r="K243" s="150"/>
      <c r="L243" s="150"/>
      <c r="M243" s="208"/>
      <c r="N243" s="237"/>
      <c r="O243" s="150"/>
      <c r="AB243" s="1"/>
      <c r="AC243" s="1"/>
      <c r="AD243" s="1"/>
      <c r="AE243" s="1"/>
      <c r="AF243" s="1"/>
      <c r="AG243" s="1"/>
      <c r="AH243" s="1"/>
      <c r="AI243" s="1"/>
      <c r="AJ243" s="1"/>
      <c r="AK243" s="1"/>
    </row>
    <row r="244" spans="1:37" s="90" customFormat="1" ht="15.95" customHeight="1">
      <c r="A244" s="1103" t="str">
        <f>CONCATENATE(" As this ",G2," is service Industry, there will be no Production and no raw materials are required. Only Hiring of Tent House, Sound &amp; Lighting items on rental / lease basis  to the required persons at ",G17,"  and surrounding places/villages during functions &amp; festivals.")</f>
        <v xml:space="preserve"> As this MASALA / SPICES MAKING UNIT is service Industry, there will be no Production and no raw materials are required. Only Hiring of Tent House, Sound &amp; Lighting items on rental / lease basis  to the required persons at Peddaamberpet  and surrounding places/villages during functions &amp; festivals.</v>
      </c>
      <c r="B244" s="1103"/>
      <c r="C244" s="1103"/>
      <c r="D244" s="1103"/>
      <c r="E244" s="1103"/>
      <c r="F244" s="1103"/>
      <c r="G244" s="150"/>
      <c r="H244" s="150"/>
      <c r="I244" s="150"/>
      <c r="J244" s="150"/>
      <c r="K244" s="150"/>
      <c r="L244" s="150"/>
      <c r="M244" s="208"/>
      <c r="N244" s="237"/>
      <c r="O244" s="150"/>
      <c r="AB244" s="1"/>
      <c r="AC244" s="1"/>
      <c r="AD244" s="1"/>
      <c r="AE244" s="1"/>
      <c r="AF244" s="1"/>
      <c r="AG244" s="1"/>
      <c r="AH244" s="1"/>
      <c r="AI244" s="1"/>
      <c r="AJ244" s="1"/>
      <c r="AK244" s="1"/>
    </row>
    <row r="245" spans="1:37" s="90" customFormat="1" ht="15.95" customHeight="1">
      <c r="A245" s="1103"/>
      <c r="B245" s="1103"/>
      <c r="C245" s="1103"/>
      <c r="D245" s="1103"/>
      <c r="E245" s="1103"/>
      <c r="F245" s="1103"/>
      <c r="G245" s="150"/>
      <c r="H245" s="150"/>
      <c r="I245" s="150"/>
      <c r="J245" s="150"/>
      <c r="K245" s="150"/>
      <c r="L245" s="150"/>
      <c r="M245" s="208"/>
      <c r="N245" s="237"/>
      <c r="O245" s="150"/>
      <c r="AB245" s="1"/>
      <c r="AC245" s="1"/>
      <c r="AD245" s="1"/>
      <c r="AE245" s="1"/>
      <c r="AF245" s="1"/>
      <c r="AG245" s="1"/>
      <c r="AH245" s="1"/>
      <c r="AI245" s="1"/>
      <c r="AJ245" s="1"/>
      <c r="AK245" s="1"/>
    </row>
    <row r="246" spans="1:37" s="90" customFormat="1" ht="15.95" customHeight="1">
      <c r="A246" s="1103"/>
      <c r="B246" s="1103"/>
      <c r="C246" s="1103"/>
      <c r="D246" s="1103"/>
      <c r="E246" s="1103"/>
      <c r="F246" s="1103"/>
      <c r="G246" s="150"/>
      <c r="H246" s="150"/>
      <c r="I246" s="150"/>
      <c r="J246" s="150"/>
      <c r="K246" s="150"/>
      <c r="L246" s="150"/>
      <c r="M246" s="208"/>
      <c r="N246" s="237"/>
      <c r="O246" s="150"/>
      <c r="AB246" s="1"/>
      <c r="AC246" s="1"/>
      <c r="AD246" s="1"/>
      <c r="AE246" s="1"/>
      <c r="AF246" s="1"/>
      <c r="AG246" s="1"/>
      <c r="AH246" s="1"/>
      <c r="AI246" s="1"/>
      <c r="AJ246" s="1"/>
      <c r="AK246" s="1"/>
    </row>
    <row r="247" spans="1:37" s="90" customFormat="1" ht="15.95" customHeight="1">
      <c r="A247" s="1103"/>
      <c r="B247" s="1103"/>
      <c r="C247" s="1103"/>
      <c r="D247" s="1103"/>
      <c r="E247" s="1103"/>
      <c r="F247" s="1103"/>
      <c r="G247" s="150"/>
      <c r="H247" s="150"/>
      <c r="I247" s="150"/>
      <c r="J247" s="150"/>
      <c r="K247" s="150"/>
      <c r="L247" s="150"/>
      <c r="M247" s="208"/>
      <c r="N247" s="237"/>
      <c r="O247" s="150"/>
      <c r="AB247" s="1"/>
      <c r="AC247" s="1"/>
      <c r="AD247" s="1"/>
      <c r="AE247" s="1"/>
      <c r="AF247" s="1"/>
      <c r="AG247" s="1"/>
      <c r="AH247" s="1"/>
      <c r="AI247" s="1"/>
      <c r="AJ247" s="1"/>
      <c r="AK247" s="1"/>
    </row>
    <row r="248" spans="1:37" s="90" customFormat="1" ht="15.95" customHeight="1">
      <c r="A248" s="256"/>
      <c r="B248" s="256"/>
      <c r="C248" s="256"/>
      <c r="D248" s="256"/>
      <c r="E248" s="257"/>
      <c r="F248" s="257"/>
      <c r="G248" s="150"/>
      <c r="H248" s="150"/>
      <c r="I248" s="150"/>
      <c r="J248" s="150"/>
      <c r="K248" s="150"/>
      <c r="L248" s="150"/>
      <c r="M248" s="208"/>
      <c r="N248" s="237"/>
      <c r="O248" s="150"/>
      <c r="AB248" s="1"/>
      <c r="AC248" s="1"/>
      <c r="AD248" s="1"/>
      <c r="AE248" s="1"/>
      <c r="AF248" s="1"/>
      <c r="AG248" s="1"/>
      <c r="AH248" s="1"/>
      <c r="AI248" s="1"/>
      <c r="AJ248" s="1"/>
      <c r="AK248" s="1"/>
    </row>
    <row r="249" spans="1:37" s="90" customFormat="1" ht="15.95" customHeight="1">
      <c r="A249" s="256"/>
      <c r="B249" s="256"/>
      <c r="C249" s="256"/>
      <c r="D249" s="256"/>
      <c r="E249" s="257"/>
      <c r="F249" s="257"/>
      <c r="G249" s="150"/>
      <c r="H249" s="150"/>
      <c r="I249" s="150"/>
      <c r="J249" s="150"/>
      <c r="K249" s="150"/>
      <c r="L249" s="150"/>
      <c r="M249" s="208"/>
      <c r="N249" s="237"/>
      <c r="O249" s="150"/>
      <c r="AB249" s="1"/>
      <c r="AC249" s="1"/>
      <c r="AD249" s="1"/>
      <c r="AE249" s="1"/>
      <c r="AF249" s="1"/>
      <c r="AG249" s="1"/>
      <c r="AH249" s="1"/>
      <c r="AI249" s="1"/>
      <c r="AJ249" s="1"/>
      <c r="AK249" s="1"/>
    </row>
    <row r="250" spans="1:37" s="90" customFormat="1" ht="15.95" customHeight="1">
      <c r="A250" s="256"/>
      <c r="B250" s="256"/>
      <c r="C250" s="256"/>
      <c r="D250" s="256"/>
      <c r="E250" s="257"/>
      <c r="F250" s="257"/>
      <c r="G250" s="150"/>
      <c r="H250" s="150"/>
      <c r="I250" s="150"/>
      <c r="J250" s="150"/>
      <c r="K250" s="150"/>
      <c r="L250" s="150"/>
      <c r="M250" s="208"/>
      <c r="N250" s="237"/>
      <c r="O250" s="150"/>
      <c r="AB250" s="1"/>
      <c r="AC250" s="1"/>
      <c r="AD250" s="1"/>
      <c r="AE250" s="1"/>
      <c r="AF250" s="1"/>
      <c r="AG250" s="1"/>
      <c r="AH250" s="1"/>
      <c r="AI250" s="1"/>
      <c r="AJ250" s="1"/>
      <c r="AK250" s="1"/>
    </row>
    <row r="251" spans="1:37" s="90" customFormat="1" ht="15.95" customHeight="1">
      <c r="A251" s="150" t="s">
        <v>418</v>
      </c>
      <c r="B251" s="150"/>
      <c r="C251" s="150"/>
      <c r="D251" s="150"/>
      <c r="E251" s="150"/>
      <c r="F251" s="150"/>
      <c r="G251" s="150"/>
      <c r="H251" s="150"/>
      <c r="I251" s="150"/>
      <c r="J251" s="150"/>
      <c r="K251" s="150"/>
      <c r="L251" s="150"/>
      <c r="M251" s="208"/>
      <c r="N251" s="237"/>
      <c r="O251" s="150"/>
      <c r="AB251" s="1"/>
      <c r="AC251" s="1"/>
      <c r="AD251" s="1"/>
      <c r="AE251" s="1"/>
      <c r="AF251" s="1"/>
      <c r="AG251" s="1"/>
      <c r="AH251" s="1"/>
      <c r="AI251" s="1"/>
      <c r="AJ251" s="1"/>
      <c r="AK251" s="1"/>
    </row>
    <row r="252" spans="1:37" s="90" customFormat="1" ht="15.95" customHeight="1">
      <c r="A252" s="1112" t="str">
        <f>+D252</f>
        <v>Project Report is Prepared by "DHRUVA CORPORATE SERVICES (P) LTD.,"</v>
      </c>
      <c r="B252" s="1112"/>
      <c r="C252" s="1112"/>
      <c r="D252" s="258" t="s">
        <v>421</v>
      </c>
      <c r="E252" s="169"/>
      <c r="F252" s="169" t="s">
        <v>92</v>
      </c>
      <c r="G252" s="258" t="s">
        <v>421</v>
      </c>
      <c r="H252" s="169"/>
      <c r="I252" s="169" t="s">
        <v>92</v>
      </c>
      <c r="J252" s="150"/>
      <c r="K252" s="150"/>
      <c r="L252" s="150"/>
      <c r="M252" s="208"/>
      <c r="N252" s="237"/>
      <c r="O252" s="150"/>
      <c r="AB252" s="1"/>
      <c r="AC252" s="1"/>
      <c r="AD252" s="1"/>
      <c r="AE252" s="1"/>
      <c r="AF252" s="1"/>
      <c r="AG252" s="1"/>
      <c r="AH252" s="1"/>
      <c r="AI252" s="1"/>
      <c r="AJ252" s="1"/>
      <c r="AK252" s="1"/>
    </row>
    <row r="253" spans="1:37" s="90" customFormat="1" ht="15.95" customHeight="1">
      <c r="A253" s="1108" t="str">
        <f>+D253</f>
        <v xml:space="preserve"> under the guidence of  SHIVA  PRASAD ALAPARTHI,  M.Com., F.C.A., A.I.C.W.A.,</v>
      </c>
      <c r="B253" s="1108"/>
      <c r="C253" s="1108"/>
      <c r="D253" s="153" t="s">
        <v>552</v>
      </c>
      <c r="E253" s="259"/>
      <c r="F253" s="259" t="s">
        <v>92</v>
      </c>
      <c r="G253" s="153" t="s">
        <v>552</v>
      </c>
      <c r="H253" s="259"/>
      <c r="I253" s="259" t="s">
        <v>92</v>
      </c>
      <c r="J253" s="150"/>
      <c r="K253" s="150"/>
      <c r="L253" s="150"/>
      <c r="M253" s="208"/>
      <c r="N253" s="237"/>
      <c r="O253" s="150"/>
      <c r="AB253" s="1"/>
      <c r="AC253" s="1"/>
      <c r="AD253" s="1"/>
      <c r="AE253" s="1"/>
      <c r="AF253" s="1"/>
      <c r="AG253" s="1"/>
      <c r="AH253" s="1"/>
      <c r="AI253" s="1"/>
      <c r="AJ253" s="1"/>
      <c r="AK253" s="1"/>
    </row>
    <row r="254" spans="1:37" s="90" customFormat="1" ht="15.95" customHeight="1">
      <c r="A254" s="1109" t="str">
        <f>+D254</f>
        <v xml:space="preserve">Specialised in  making  PROJECT REPORTS,  C.M.A. Data to Banks  and Providing Guidence on Income-tax, Sales-Tax, Service-Tax, ROC &amp; LLP matters and undertaking filing of  all e-Returns for the SSI units. </v>
      </c>
      <c r="B254" s="1109"/>
      <c r="C254" s="1109"/>
      <c r="D254" s="260" t="s">
        <v>381</v>
      </c>
      <c r="E254" s="259"/>
      <c r="F254" s="259" t="s">
        <v>92</v>
      </c>
      <c r="G254" s="260" t="s">
        <v>381</v>
      </c>
      <c r="H254" s="259"/>
      <c r="I254" s="259" t="s">
        <v>92</v>
      </c>
      <c r="J254" s="150"/>
      <c r="K254" s="150"/>
      <c r="L254" s="150"/>
      <c r="M254" s="208"/>
      <c r="N254" s="237"/>
      <c r="O254" s="150"/>
      <c r="AB254" s="1"/>
      <c r="AC254" s="1"/>
      <c r="AD254" s="1"/>
      <c r="AE254" s="1"/>
      <c r="AF254" s="1"/>
      <c r="AG254" s="1"/>
      <c r="AH254" s="1"/>
      <c r="AI254" s="1"/>
      <c r="AJ254" s="1"/>
      <c r="AK254" s="1"/>
    </row>
    <row r="255" spans="1:37" s="90" customFormat="1" ht="15.95" customHeight="1">
      <c r="A255" s="1110" t="str">
        <f>+D255</f>
        <v xml:space="preserve">Address:# Flat No:503/1, Sri Sai Residency, opp.Khairatabad Library/Bada Ganesh, Adj.Ayyangari Bakery, Hyderabad-4, A.P. Ph: 98496-99009 / 040-64522899.  e.mail:  pmegp@india.com,     ca.report@yahoo.com,  </v>
      </c>
      <c r="B255" s="1110"/>
      <c r="C255" s="1110"/>
      <c r="D255" s="153" t="s">
        <v>553</v>
      </c>
      <c r="E255" s="261"/>
      <c r="F255" s="261" t="s">
        <v>347</v>
      </c>
      <c r="G255" s="153" t="s">
        <v>553</v>
      </c>
      <c r="H255" s="261"/>
      <c r="I255" s="261" t="s">
        <v>347</v>
      </c>
      <c r="J255" s="150"/>
      <c r="K255" s="150"/>
      <c r="L255" s="150"/>
      <c r="M255" s="208"/>
      <c r="N255" s="237"/>
      <c r="O255" s="150"/>
      <c r="AB255" s="1"/>
      <c r="AC255" s="1"/>
      <c r="AD255" s="1"/>
      <c r="AE255" s="1"/>
      <c r="AF255" s="1"/>
      <c r="AG255" s="1"/>
      <c r="AH255" s="1"/>
      <c r="AI255" s="1"/>
      <c r="AJ255" s="1"/>
      <c r="AK255" s="1"/>
    </row>
    <row r="256" spans="1:37" ht="15.95" customHeight="1">
      <c r="A256" s="150"/>
      <c r="B256" s="150"/>
      <c r="C256" s="150"/>
      <c r="D256" s="150"/>
      <c r="E256" s="150"/>
      <c r="F256" s="150"/>
      <c r="G256" s="150"/>
      <c r="H256" s="150"/>
      <c r="I256" s="150"/>
      <c r="J256" s="150"/>
      <c r="K256" s="150"/>
      <c r="L256" s="150"/>
      <c r="M256" s="208"/>
      <c r="N256" s="237"/>
      <c r="O256" s="150"/>
      <c r="AB256" s="1"/>
      <c r="AC256" s="1"/>
      <c r="AD256" s="1"/>
      <c r="AE256" s="1"/>
      <c r="AF256" s="1"/>
      <c r="AG256" s="1"/>
      <c r="AH256" s="1"/>
      <c r="AI256" s="1"/>
      <c r="AJ256" s="1"/>
      <c r="AK256" s="1"/>
    </row>
    <row r="257" spans="1:37" ht="15.95" customHeight="1">
      <c r="A257" s="150"/>
      <c r="B257" s="150"/>
      <c r="C257" s="150"/>
      <c r="D257" s="150"/>
      <c r="E257" s="150"/>
      <c r="F257" s="150"/>
      <c r="G257" s="150"/>
      <c r="H257" s="150"/>
      <c r="I257" s="150"/>
      <c r="J257" s="150"/>
      <c r="K257" s="150"/>
      <c r="L257" s="150"/>
      <c r="M257" s="208"/>
      <c r="N257" s="237"/>
      <c r="O257" s="150"/>
      <c r="AB257" s="1"/>
      <c r="AC257" s="1"/>
      <c r="AD257" s="1"/>
      <c r="AE257" s="1"/>
      <c r="AF257" s="1"/>
      <c r="AG257" s="1"/>
      <c r="AH257" s="1"/>
      <c r="AI257" s="1"/>
      <c r="AJ257" s="1"/>
      <c r="AK257" s="1"/>
    </row>
    <row r="258" spans="1:37" ht="15.95" customHeight="1">
      <c r="A258" s="1104" t="s">
        <v>370</v>
      </c>
      <c r="B258" s="1104"/>
      <c r="C258" s="1104"/>
      <c r="D258" s="1104"/>
      <c r="E258" s="1104" t="s">
        <v>456</v>
      </c>
      <c r="F258" s="1104"/>
      <c r="G258" s="1104"/>
      <c r="H258" s="1104"/>
      <c r="I258" s="150"/>
      <c r="J258" s="150"/>
      <c r="K258" s="150"/>
      <c r="L258" s="150"/>
      <c r="M258" s="208"/>
      <c r="N258" s="237"/>
      <c r="O258" s="150"/>
      <c r="AB258" s="1"/>
      <c r="AC258" s="1"/>
      <c r="AD258" s="1"/>
      <c r="AE258" s="1"/>
      <c r="AF258" s="1"/>
      <c r="AG258" s="1"/>
      <c r="AH258" s="1"/>
      <c r="AI258" s="1"/>
      <c r="AJ258" s="1"/>
      <c r="AK258" s="1"/>
    </row>
    <row r="259" spans="1:37" s="89" customFormat="1" ht="15.95" customHeight="1">
      <c r="A259" s="1158" t="e">
        <f>+A262</f>
        <v>#REF!</v>
      </c>
      <c r="B259" s="1158"/>
      <c r="C259" s="1158"/>
      <c r="D259" s="1158"/>
      <c r="E259" s="1105" t="str">
        <f>+E262</f>
        <v>Mumbai, Delhi, Ahmedabad</v>
      </c>
      <c r="F259" s="1105"/>
      <c r="G259" s="1105"/>
      <c r="H259" s="1105"/>
      <c r="I259" s="150"/>
      <c r="J259" s="150"/>
      <c r="K259" s="150"/>
      <c r="L259" s="150"/>
      <c r="M259" s="208"/>
      <c r="N259" s="208"/>
      <c r="O259" s="208"/>
      <c r="AE259" s="1"/>
      <c r="AF259" s="1"/>
      <c r="AG259" s="1"/>
      <c r="AH259" s="1"/>
      <c r="AI259" s="1"/>
      <c r="AJ259" s="1"/>
      <c r="AK259" s="1"/>
    </row>
    <row r="260" spans="1:37" s="89" customFormat="1" ht="15.95" customHeight="1">
      <c r="A260" s="1115" t="s">
        <v>420</v>
      </c>
      <c r="B260" s="1115"/>
      <c r="C260" s="1115"/>
      <c r="D260" s="1115"/>
      <c r="E260" s="262" t="s">
        <v>382</v>
      </c>
      <c r="F260" s="150"/>
      <c r="G260" s="150"/>
      <c r="H260" s="150"/>
      <c r="I260" s="150"/>
      <c r="J260" s="150"/>
      <c r="K260" s="150"/>
      <c r="L260" s="150"/>
      <c r="M260" s="208"/>
      <c r="N260" s="208"/>
      <c r="O260" s="208"/>
      <c r="AE260" s="1"/>
      <c r="AF260" s="1"/>
      <c r="AG260" s="1"/>
      <c r="AH260" s="1"/>
      <c r="AI260" s="1"/>
      <c r="AJ260" s="1"/>
      <c r="AK260" s="1"/>
    </row>
    <row r="261" spans="1:37" s="89" customFormat="1" ht="15.95" customHeight="1">
      <c r="A261" s="1111" t="e">
        <f>CONCATENATE("from the dealers/wholesellers at  ",#REF!,)</f>
        <v>#REF!</v>
      </c>
      <c r="B261" s="1111"/>
      <c r="C261" s="1111"/>
      <c r="D261" s="1111"/>
      <c r="E261" s="150" t="s">
        <v>386</v>
      </c>
      <c r="F261" s="150"/>
      <c r="G261" s="150"/>
      <c r="H261" s="150"/>
      <c r="I261" s="150"/>
      <c r="J261" s="150"/>
      <c r="K261" s="150"/>
      <c r="L261" s="150"/>
      <c r="M261" s="208"/>
      <c r="N261" s="208"/>
      <c r="O261" s="208"/>
      <c r="AE261" s="1"/>
      <c r="AF261" s="1"/>
      <c r="AG261" s="1"/>
      <c r="AH261" s="1"/>
      <c r="AI261" s="1"/>
      <c r="AJ261" s="1"/>
      <c r="AK261" s="1"/>
    </row>
    <row r="262" spans="1:37" s="89" customFormat="1" ht="15.95" customHeight="1">
      <c r="A262" s="1111" t="e">
        <f>CONCATENATE("from the factories/manufacturers  at  ",#REF!,)</f>
        <v>#REF!</v>
      </c>
      <c r="B262" s="1111"/>
      <c r="C262" s="1111"/>
      <c r="D262" s="1111"/>
      <c r="E262" s="150" t="s">
        <v>384</v>
      </c>
      <c r="F262" s="150"/>
      <c r="G262" s="150"/>
      <c r="H262" s="150"/>
      <c r="I262" s="150"/>
      <c r="J262" s="150"/>
      <c r="K262" s="150"/>
      <c r="L262" s="150"/>
      <c r="M262" s="208"/>
      <c r="N262" s="208"/>
      <c r="O262" s="208"/>
      <c r="AE262" s="1"/>
      <c r="AF262" s="1"/>
      <c r="AG262" s="1"/>
      <c r="AH262" s="1"/>
      <c r="AI262" s="1"/>
      <c r="AJ262" s="1"/>
      <c r="AK262" s="1"/>
    </row>
    <row r="263" spans="1:37" s="89" customFormat="1" ht="15.95" customHeight="1">
      <c r="A263" s="1111" t="e">
        <f>CONCATENATE("from the farmers / surrounding villages of the ",#REF!,)</f>
        <v>#REF!</v>
      </c>
      <c r="B263" s="1111"/>
      <c r="C263" s="1111"/>
      <c r="D263" s="1111"/>
      <c r="E263" s="150" t="str">
        <f>+G9</f>
        <v>Narketpally</v>
      </c>
      <c r="F263" s="150" t="s">
        <v>351</v>
      </c>
      <c r="G263" s="150"/>
      <c r="H263" s="150"/>
      <c r="I263" s="150"/>
      <c r="J263" s="150"/>
      <c r="K263" s="150"/>
      <c r="L263" s="150"/>
      <c r="M263" s="208"/>
      <c r="N263" s="208"/>
      <c r="O263" s="208"/>
      <c r="AE263" s="1"/>
      <c r="AF263" s="1"/>
      <c r="AG263" s="1"/>
      <c r="AH263" s="1"/>
      <c r="AI263" s="1"/>
      <c r="AJ263" s="1"/>
      <c r="AK263" s="1"/>
    </row>
    <row r="264" spans="1:37" ht="15.95" customHeight="1">
      <c r="A264" s="1111" t="s">
        <v>419</v>
      </c>
      <c r="B264" s="1111"/>
      <c r="C264" s="1111"/>
      <c r="D264" s="1111"/>
      <c r="E264" s="207" t="e">
        <f>+#REF!</f>
        <v>#REF!</v>
      </c>
      <c r="F264" s="150" t="s">
        <v>353</v>
      </c>
      <c r="G264" s="150" t="s">
        <v>386</v>
      </c>
      <c r="H264" s="150"/>
      <c r="I264" s="150"/>
      <c r="J264" s="150"/>
      <c r="K264" s="150"/>
      <c r="L264" s="150"/>
      <c r="M264" s="208"/>
      <c r="N264" s="208"/>
      <c r="O264" s="208"/>
      <c r="AF264" s="1"/>
      <c r="AG264" s="1"/>
      <c r="AH264" s="1"/>
      <c r="AI264" s="1"/>
      <c r="AJ264" s="1"/>
      <c r="AK264" s="1"/>
    </row>
    <row r="265" spans="1:37" ht="15.95" customHeight="1">
      <c r="A265" s="1113" t="e">
        <f>CONCATENATE(,#REF!," at ",#REF!,)</f>
        <v>#REF!</v>
      </c>
      <c r="B265" s="1113"/>
      <c r="C265" s="1113"/>
      <c r="D265" s="1113"/>
      <c r="E265" s="207" t="str">
        <f>+G29</f>
        <v>Hyderabad</v>
      </c>
      <c r="F265" s="150" t="s">
        <v>350</v>
      </c>
      <c r="G265" s="150" t="s">
        <v>384</v>
      </c>
      <c r="H265" s="150"/>
      <c r="I265" s="150"/>
      <c r="J265" s="150"/>
      <c r="K265" s="150"/>
      <c r="L265" s="150"/>
      <c r="M265" s="208"/>
      <c r="N265" s="208"/>
      <c r="O265" s="208"/>
      <c r="AF265" s="1"/>
      <c r="AG265" s="1"/>
      <c r="AH265" s="1"/>
      <c r="AI265" s="1"/>
      <c r="AJ265" s="1"/>
      <c r="AK265" s="1"/>
    </row>
    <row r="266" spans="1:37" ht="15.95" customHeight="1">
      <c r="A266" s="1114"/>
      <c r="B266" s="1114"/>
      <c r="C266" s="1114"/>
      <c r="D266" s="1114"/>
      <c r="E266" s="150" t="str">
        <f>+G17</f>
        <v>Peddaamberpet</v>
      </c>
      <c r="F266" s="150" t="s">
        <v>352</v>
      </c>
      <c r="G266" s="150"/>
      <c r="H266" s="150"/>
      <c r="I266" s="150"/>
      <c r="J266" s="150"/>
      <c r="K266" s="150"/>
      <c r="L266" s="150"/>
      <c r="M266" s="208"/>
      <c r="N266" s="208"/>
      <c r="O266" s="208"/>
      <c r="AE266" s="1"/>
      <c r="AF266" s="1"/>
      <c r="AG266" s="1"/>
      <c r="AH266" s="1"/>
      <c r="AI266" s="1"/>
      <c r="AJ266" s="1"/>
      <c r="AK266" s="1"/>
    </row>
    <row r="267" spans="1:37" ht="15.95" customHeight="1">
      <c r="A267" s="150"/>
      <c r="B267" s="150"/>
      <c r="C267" s="150"/>
      <c r="D267" s="150"/>
      <c r="E267" s="150" t="str">
        <f>+G18</f>
        <v>Ranga Reddy</v>
      </c>
      <c r="F267" s="150" t="s">
        <v>367</v>
      </c>
      <c r="G267" s="150"/>
      <c r="H267" s="150"/>
      <c r="I267" s="150"/>
      <c r="J267" s="150"/>
      <c r="K267" s="150"/>
      <c r="L267" s="150"/>
      <c r="M267" s="208"/>
      <c r="N267" s="208"/>
      <c r="O267" s="208"/>
      <c r="AE267" s="1"/>
      <c r="AF267" s="1"/>
      <c r="AG267" s="1"/>
      <c r="AH267" s="1"/>
      <c r="AI267" s="1"/>
      <c r="AJ267" s="1"/>
      <c r="AK267" s="1"/>
    </row>
    <row r="268" spans="1:37" ht="15.95" customHeight="1">
      <c r="A268" s="263" t="s">
        <v>226</v>
      </c>
      <c r="B268" s="150" t="s">
        <v>92</v>
      </c>
      <c r="C268" s="1102"/>
      <c r="D268" s="1102"/>
      <c r="E268" s="170" t="s">
        <v>387</v>
      </c>
      <c r="F268" s="170" t="s">
        <v>389</v>
      </c>
      <c r="G268" s="170" t="s">
        <v>388</v>
      </c>
      <c r="H268" s="170">
        <v>5</v>
      </c>
      <c r="I268" s="150"/>
      <c r="J268" s="150"/>
      <c r="K268" s="150"/>
      <c r="L268" s="150"/>
      <c r="M268" s="208"/>
      <c r="N268" s="208"/>
      <c r="O268" s="208"/>
      <c r="AE268" s="1"/>
      <c r="AF268" s="1"/>
      <c r="AG268" s="1"/>
      <c r="AH268" s="1"/>
      <c r="AI268" s="1"/>
      <c r="AJ268" s="1"/>
      <c r="AK268" s="1"/>
    </row>
    <row r="269" spans="1:37" ht="15.95" customHeight="1">
      <c r="A269" s="171" t="s">
        <v>368</v>
      </c>
      <c r="B269" s="150" t="s">
        <v>92</v>
      </c>
      <c r="C269" s="1102"/>
      <c r="D269" s="1102"/>
      <c r="E269" s="172">
        <v>1</v>
      </c>
      <c r="F269" s="170"/>
      <c r="G269" s="172">
        <f>+H268</f>
        <v>5</v>
      </c>
      <c r="H269" s="150">
        <f t="shared" ref="H269:H275" si="11">+G269+E269-1</f>
        <v>5</v>
      </c>
      <c r="I269" s="150"/>
      <c r="J269" s="150"/>
      <c r="K269" s="150"/>
      <c r="L269" s="150"/>
      <c r="M269" s="208"/>
      <c r="N269" s="208"/>
      <c r="O269" s="208"/>
      <c r="AE269" s="1"/>
      <c r="AF269" s="1"/>
      <c r="AG269" s="1"/>
      <c r="AH269" s="1"/>
      <c r="AI269" s="1"/>
      <c r="AJ269" s="1"/>
      <c r="AK269" s="1"/>
    </row>
    <row r="270" spans="1:37" ht="15.95" customHeight="1">
      <c r="A270" s="171" t="s">
        <v>372</v>
      </c>
      <c r="B270" s="150" t="s">
        <v>92</v>
      </c>
      <c r="C270" s="1102"/>
      <c r="D270" s="1102"/>
      <c r="E270" s="172">
        <v>1</v>
      </c>
      <c r="F270" s="170">
        <v>0</v>
      </c>
      <c r="G270" s="172">
        <f t="shared" ref="G270:G275" si="12">+H269+F270</f>
        <v>5</v>
      </c>
      <c r="H270" s="150">
        <f t="shared" si="11"/>
        <v>5</v>
      </c>
      <c r="I270" s="150"/>
      <c r="J270" s="150"/>
      <c r="K270" s="150"/>
      <c r="L270" s="150"/>
      <c r="M270" s="208"/>
      <c r="N270" s="208"/>
      <c r="O270" s="208"/>
      <c r="AE270" s="1"/>
      <c r="AF270" s="1"/>
      <c r="AG270" s="1"/>
      <c r="AH270" s="1"/>
      <c r="AI270" s="1"/>
      <c r="AJ270" s="1"/>
      <c r="AK270" s="1"/>
    </row>
    <row r="271" spans="1:37" ht="15.95" customHeight="1">
      <c r="A271" s="171" t="s">
        <v>371</v>
      </c>
      <c r="B271" s="150" t="s">
        <v>92</v>
      </c>
      <c r="C271" s="1102"/>
      <c r="D271" s="1102"/>
      <c r="E271" s="172">
        <v>1</v>
      </c>
      <c r="F271" s="170"/>
      <c r="G271" s="172">
        <f t="shared" si="12"/>
        <v>5</v>
      </c>
      <c r="H271" s="150">
        <f t="shared" si="11"/>
        <v>5</v>
      </c>
      <c r="I271" s="150"/>
      <c r="J271" s="150"/>
      <c r="K271" s="150"/>
      <c r="L271" s="150"/>
      <c r="M271" s="208"/>
      <c r="N271" s="208"/>
      <c r="O271" s="208"/>
      <c r="AE271" s="1"/>
      <c r="AF271" s="1"/>
      <c r="AG271" s="1"/>
      <c r="AH271" s="1"/>
      <c r="AI271" s="1"/>
      <c r="AJ271" s="1"/>
      <c r="AK271" s="1"/>
    </row>
    <row r="272" spans="1:37" ht="15.95" customHeight="1">
      <c r="A272" s="171" t="s">
        <v>369</v>
      </c>
      <c r="B272" s="150" t="s">
        <v>92</v>
      </c>
      <c r="C272" s="1102"/>
      <c r="D272" s="1102"/>
      <c r="E272" s="172">
        <v>1</v>
      </c>
      <c r="F272" s="170"/>
      <c r="G272" s="172">
        <f t="shared" si="12"/>
        <v>5</v>
      </c>
      <c r="H272" s="150">
        <f t="shared" si="11"/>
        <v>5</v>
      </c>
      <c r="I272" s="150"/>
      <c r="J272" s="150"/>
      <c r="K272" s="150"/>
      <c r="L272" s="150"/>
      <c r="M272" s="208"/>
      <c r="N272" s="208"/>
      <c r="O272" s="208"/>
      <c r="AE272" s="1"/>
      <c r="AF272" s="1"/>
      <c r="AG272" s="1"/>
      <c r="AH272" s="1"/>
      <c r="AI272" s="1"/>
      <c r="AJ272" s="1"/>
      <c r="AK272" s="1"/>
    </row>
    <row r="273" spans="1:37" ht="15.95" customHeight="1">
      <c r="A273" s="171" t="s">
        <v>370</v>
      </c>
      <c r="B273" s="150" t="s">
        <v>92</v>
      </c>
      <c r="C273" s="1102"/>
      <c r="D273" s="1102"/>
      <c r="E273" s="172">
        <v>1</v>
      </c>
      <c r="F273" s="170"/>
      <c r="G273" s="172">
        <f t="shared" si="12"/>
        <v>5</v>
      </c>
      <c r="H273" s="150">
        <f t="shared" si="11"/>
        <v>5</v>
      </c>
      <c r="I273" s="150"/>
      <c r="J273" s="150"/>
      <c r="K273" s="150"/>
      <c r="L273" s="150"/>
      <c r="M273" s="208"/>
      <c r="N273" s="208"/>
      <c r="O273" s="208"/>
      <c r="AE273" s="1"/>
      <c r="AF273" s="1"/>
      <c r="AG273" s="1"/>
      <c r="AH273" s="1"/>
      <c r="AI273" s="1"/>
      <c r="AJ273" s="1"/>
      <c r="AK273" s="1"/>
    </row>
    <row r="274" spans="1:37" ht="15.95" customHeight="1">
      <c r="A274" s="171" t="s">
        <v>373</v>
      </c>
      <c r="B274" s="150" t="s">
        <v>92</v>
      </c>
      <c r="C274" s="1102"/>
      <c r="D274" s="1102"/>
      <c r="E274" s="172">
        <v>1</v>
      </c>
      <c r="F274" s="170">
        <v>1</v>
      </c>
      <c r="G274" s="172">
        <f t="shared" si="12"/>
        <v>6</v>
      </c>
      <c r="H274" s="150">
        <f t="shared" si="11"/>
        <v>6</v>
      </c>
      <c r="I274" s="150"/>
      <c r="J274" s="150"/>
      <c r="K274" s="150"/>
      <c r="L274" s="150"/>
      <c r="M274" s="208"/>
      <c r="N274" s="208"/>
      <c r="O274" s="208"/>
      <c r="AE274" s="1"/>
      <c r="AF274" s="1"/>
      <c r="AG274" s="1"/>
      <c r="AH274" s="1"/>
      <c r="AI274" s="1"/>
      <c r="AJ274" s="1"/>
      <c r="AK274" s="1"/>
    </row>
    <row r="275" spans="1:37" ht="15.95" customHeight="1">
      <c r="A275" s="171" t="s">
        <v>374</v>
      </c>
      <c r="B275" s="150" t="s">
        <v>92</v>
      </c>
      <c r="C275" s="1102"/>
      <c r="D275" s="1102"/>
      <c r="E275" s="172">
        <v>1</v>
      </c>
      <c r="F275" s="170"/>
      <c r="G275" s="172">
        <f t="shared" si="12"/>
        <v>6</v>
      </c>
      <c r="H275" s="150">
        <f t="shared" si="11"/>
        <v>6</v>
      </c>
      <c r="I275" s="150"/>
      <c r="J275" s="150"/>
      <c r="K275" s="173"/>
      <c r="L275" s="150"/>
      <c r="M275" s="208"/>
      <c r="N275" s="208"/>
      <c r="O275" s="208"/>
      <c r="AE275" s="1"/>
      <c r="AF275" s="1"/>
      <c r="AG275" s="1"/>
      <c r="AH275" s="1"/>
      <c r="AI275" s="1"/>
      <c r="AJ275" s="1"/>
      <c r="AK275" s="1"/>
    </row>
    <row r="276" spans="1:37" ht="15.95" customHeight="1">
      <c r="A276" s="150"/>
      <c r="B276" s="150"/>
      <c r="C276" s="150"/>
      <c r="D276" s="150"/>
      <c r="E276" s="150"/>
      <c r="F276" s="150"/>
      <c r="G276" s="150"/>
      <c r="H276" s="150"/>
      <c r="I276" s="150"/>
      <c r="J276" s="150"/>
      <c r="K276" s="174"/>
      <c r="L276" s="150"/>
      <c r="M276" s="208"/>
      <c r="N276" s="208"/>
      <c r="O276" s="208"/>
      <c r="AE276" s="1"/>
      <c r="AF276" s="1"/>
      <c r="AG276" s="1"/>
      <c r="AH276" s="1"/>
      <c r="AI276" s="1"/>
      <c r="AJ276" s="1"/>
      <c r="AK276" s="1"/>
    </row>
    <row r="277" spans="1:37" ht="15.95" customHeight="1">
      <c r="A277" s="150"/>
      <c r="B277" s="150"/>
      <c r="C277" s="153"/>
      <c r="D277" s="153"/>
      <c r="E277" s="153"/>
      <c r="F277" s="153"/>
      <c r="G277" s="155"/>
      <c r="H277" s="150"/>
      <c r="I277" s="150"/>
      <c r="J277" s="150"/>
      <c r="K277" s="173"/>
      <c r="L277" s="150"/>
      <c r="M277" s="208"/>
      <c r="N277" s="208"/>
      <c r="O277" s="208"/>
      <c r="AE277" s="1"/>
      <c r="AF277" s="1"/>
      <c r="AG277" s="1"/>
      <c r="AH277" s="1"/>
      <c r="AI277" s="1"/>
      <c r="AJ277" s="1"/>
      <c r="AK277" s="1"/>
    </row>
    <row r="278" spans="1:37" ht="15.95" customHeight="1">
      <c r="A278" s="150"/>
      <c r="B278" s="150"/>
      <c r="C278" s="154"/>
      <c r="D278" s="154"/>
      <c r="E278" s="154"/>
      <c r="F278" s="154"/>
      <c r="G278" s="154"/>
      <c r="H278" s="150"/>
      <c r="I278" s="150"/>
      <c r="J278" s="174"/>
      <c r="K278" s="174"/>
      <c r="L278" s="150"/>
      <c r="M278" s="208"/>
      <c r="N278" s="208"/>
      <c r="O278" s="208"/>
      <c r="AE278" s="1"/>
      <c r="AF278" s="1"/>
      <c r="AG278" s="1"/>
      <c r="AH278" s="1"/>
      <c r="AI278" s="1"/>
      <c r="AJ278" s="1"/>
      <c r="AK278" s="1"/>
    </row>
    <row r="279" spans="1:37" ht="15.95" customHeight="1">
      <c r="A279" s="150"/>
      <c r="B279" s="150"/>
      <c r="C279" s="154"/>
      <c r="D279" s="154"/>
      <c r="E279" s="154"/>
      <c r="F279" s="154"/>
      <c r="G279" s="154"/>
      <c r="H279" s="150"/>
      <c r="I279" s="150"/>
      <c r="J279" s="174"/>
      <c r="K279" s="173"/>
      <c r="L279" s="150"/>
      <c r="M279" s="208"/>
      <c r="N279" s="208"/>
      <c r="O279" s="208"/>
      <c r="AE279" s="1"/>
      <c r="AF279" s="1"/>
      <c r="AG279" s="1"/>
      <c r="AH279" s="1"/>
      <c r="AI279" s="1"/>
      <c r="AJ279" s="1"/>
      <c r="AK279" s="1"/>
    </row>
    <row r="280" spans="1:37" ht="15.95" customHeight="1">
      <c r="A280" s="150"/>
      <c r="B280" s="150"/>
      <c r="C280" s="153"/>
      <c r="D280" s="153"/>
      <c r="E280" s="153"/>
      <c r="F280" s="153"/>
      <c r="G280" s="155"/>
      <c r="H280" s="150"/>
      <c r="I280" s="150"/>
      <c r="J280" s="174"/>
      <c r="K280" s="174"/>
      <c r="L280" s="150"/>
      <c r="M280" s="208"/>
      <c r="N280" s="208"/>
      <c r="O280" s="208"/>
      <c r="AE280" s="1"/>
      <c r="AF280" s="1"/>
      <c r="AG280" s="1"/>
      <c r="AH280" s="1"/>
      <c r="AI280" s="1"/>
      <c r="AJ280" s="1"/>
      <c r="AK280" s="1"/>
    </row>
    <row r="281" spans="1:37" ht="15.95" customHeight="1">
      <c r="A281" s="150"/>
      <c r="B281" s="150"/>
      <c r="C281" s="155"/>
      <c r="D281" s="155"/>
      <c r="E281" s="155"/>
      <c r="F281" s="155"/>
      <c r="G281" s="155"/>
      <c r="H281" s="150"/>
      <c r="I281" s="150"/>
      <c r="J281" s="150"/>
      <c r="K281" s="173"/>
      <c r="L281" s="150"/>
      <c r="M281" s="208"/>
      <c r="N281" s="208"/>
      <c r="O281" s="208"/>
      <c r="AE281" s="1"/>
      <c r="AF281" s="1"/>
      <c r="AG281" s="1"/>
      <c r="AH281" s="1"/>
      <c r="AI281" s="1"/>
      <c r="AJ281" s="1"/>
      <c r="AK281" s="1"/>
    </row>
    <row r="282" spans="1:37" ht="15.95" customHeight="1">
      <c r="A282" s="150"/>
      <c r="B282" s="150"/>
      <c r="C282" s="159"/>
      <c r="D282" s="159"/>
      <c r="E282" s="160"/>
      <c r="F282" s="160"/>
      <c r="G282" s="160"/>
      <c r="H282" s="150"/>
      <c r="I282" s="150"/>
      <c r="J282" s="150"/>
      <c r="K282" s="174"/>
      <c r="L282" s="150"/>
      <c r="M282" s="208"/>
      <c r="N282" s="208"/>
      <c r="O282" s="208"/>
      <c r="AE282" s="1"/>
      <c r="AF282" s="1"/>
      <c r="AG282" s="1"/>
      <c r="AH282" s="1"/>
      <c r="AI282" s="1"/>
      <c r="AJ282" s="1"/>
      <c r="AK282" s="1"/>
    </row>
    <row r="283" spans="1:37" ht="15.95" customHeight="1">
      <c r="A283" s="175" t="s">
        <v>337</v>
      </c>
      <c r="B283" s="150"/>
      <c r="C283" s="155"/>
      <c r="D283" s="155"/>
      <c r="E283" s="176" t="e">
        <f>+E284</f>
        <v>#REF!</v>
      </c>
      <c r="F283" s="155"/>
      <c r="G283" s="155"/>
      <c r="H283" s="150"/>
      <c r="I283" s="150"/>
      <c r="J283" s="150"/>
      <c r="K283" s="173"/>
      <c r="L283" s="150"/>
      <c r="M283" s="208"/>
      <c r="N283" s="208"/>
      <c r="O283" s="208"/>
      <c r="AE283" s="1"/>
      <c r="AF283" s="1"/>
      <c r="AG283" s="1"/>
      <c r="AH283" s="1"/>
      <c r="AI283" s="1"/>
      <c r="AJ283" s="1"/>
      <c r="AK283" s="1"/>
    </row>
    <row r="284" spans="1:37" ht="15.95" customHeight="1">
      <c r="A284" s="177" t="s">
        <v>424</v>
      </c>
      <c r="B284" s="150"/>
      <c r="C284" s="155"/>
      <c r="D284" s="155"/>
      <c r="E284" s="156" t="e">
        <f>CONCATENATE("The Unit requires  ",#REF!," of ",#REF!," and ",'Data Feeding'!#REF!,"  and required area is ",#REF!," sq.fts and value of the civil works are Rs. ",'Data Feeding'!$K$81,"/-")</f>
        <v>#REF!</v>
      </c>
      <c r="F284" s="155"/>
      <c r="G284" s="155"/>
      <c r="H284" s="150"/>
      <c r="I284" s="150"/>
      <c r="J284" s="150"/>
      <c r="K284" s="174"/>
      <c r="L284" s="150"/>
      <c r="M284" s="208"/>
      <c r="N284" s="208"/>
      <c r="O284" s="208"/>
      <c r="AE284" s="1"/>
      <c r="AF284" s="1"/>
      <c r="AG284" s="1"/>
      <c r="AH284" s="1"/>
      <c r="AI284" s="1"/>
      <c r="AJ284" s="1"/>
      <c r="AK284" s="1"/>
    </row>
    <row r="285" spans="1:37" s="80" customFormat="1" ht="15.95" customHeight="1">
      <c r="A285" s="177" t="s">
        <v>348</v>
      </c>
      <c r="B285" s="150"/>
      <c r="C285" s="155"/>
      <c r="D285" s="155"/>
      <c r="E285" s="156" t="e">
        <f>CONCATENATE("The Unit has to be set up in ",#REF!,"  and   ",'Data Feeding'!#REF!," and required area is   ",'Data Feeding'!#REF!,"/-")</f>
        <v>#REF!</v>
      </c>
      <c r="F285" s="155"/>
      <c r="G285" s="155"/>
      <c r="H285" s="150"/>
      <c r="I285" s="150"/>
      <c r="J285" s="150"/>
      <c r="K285" s="174"/>
      <c r="L285" s="150"/>
      <c r="M285" s="208"/>
      <c r="N285" s="208"/>
      <c r="O285" s="208"/>
      <c r="AE285" s="1"/>
      <c r="AF285" s="1"/>
      <c r="AG285" s="1"/>
      <c r="AH285" s="1"/>
      <c r="AI285" s="1"/>
      <c r="AJ285" s="1"/>
      <c r="AK285" s="1"/>
    </row>
    <row r="286" spans="1:37" s="80" customFormat="1" ht="15.95" customHeight="1">
      <c r="A286" s="177" t="s">
        <v>345</v>
      </c>
      <c r="B286" s="150"/>
      <c r="C286" s="155"/>
      <c r="D286" s="155"/>
      <c r="E286" s="156" t="e">
        <f>CONCATENATE("The Unit requires ",#REF!," of land   and ",#REF!,"   and area of civil works required is  ",#REF!," on ",#REF!,".")</f>
        <v>#REF!</v>
      </c>
      <c r="F286" s="155"/>
      <c r="G286" s="155"/>
      <c r="H286" s="150"/>
      <c r="I286" s="150"/>
      <c r="J286" s="150"/>
      <c r="K286" s="174"/>
      <c r="L286" s="150"/>
      <c r="M286" s="208"/>
      <c r="N286" s="208"/>
      <c r="O286" s="208"/>
      <c r="AE286" s="1"/>
      <c r="AF286" s="1"/>
      <c r="AG286" s="1"/>
      <c r="AH286" s="1"/>
      <c r="AI286" s="1"/>
      <c r="AJ286" s="1"/>
      <c r="AK286" s="1"/>
    </row>
    <row r="287" spans="1:37" s="80" customFormat="1" ht="15.95" customHeight="1">
      <c r="A287" s="177" t="s">
        <v>349</v>
      </c>
      <c r="B287" s="150"/>
      <c r="C287" s="155"/>
      <c r="D287" s="155"/>
      <c r="E287" s="178" t="e">
        <f>CONCATENATE("The Unit requires  ",'Data Feeding'!$B$81,", ",'Data Feeding'!#REF!,", ",'Data Feeding'!#REF!," and required area is ",'Data Feeding'!#REF!," sq.fts and no need of any civil works and   ",'Data Feeding'!#REF!,".")</f>
        <v>#REF!</v>
      </c>
      <c r="F287" s="155"/>
      <c r="G287" s="155"/>
      <c r="H287" s="150"/>
      <c r="I287" s="150"/>
      <c r="J287" s="157"/>
      <c r="K287" s="157"/>
      <c r="L287" s="150"/>
      <c r="M287" s="208"/>
      <c r="N287" s="208"/>
      <c r="O287" s="208"/>
      <c r="AE287" s="1"/>
      <c r="AF287" s="1"/>
      <c r="AG287" s="1"/>
      <c r="AH287" s="1"/>
      <c r="AI287" s="1"/>
      <c r="AJ287" s="1"/>
      <c r="AK287" s="1"/>
    </row>
    <row r="288" spans="1:37" s="80" customFormat="1" ht="15.95" customHeight="1">
      <c r="A288" s="167" t="s">
        <v>338</v>
      </c>
      <c r="B288" s="150"/>
      <c r="C288" s="153"/>
      <c r="D288" s="153"/>
      <c r="E288" s="168" t="e">
        <f>+E289</f>
        <v>#REF!</v>
      </c>
      <c r="F288" s="179"/>
      <c r="G288" s="179"/>
      <c r="H288" s="150"/>
      <c r="I288" s="150"/>
      <c r="J288" s="150"/>
      <c r="K288" s="173"/>
      <c r="L288" s="150"/>
      <c r="M288" s="208"/>
      <c r="N288" s="208"/>
      <c r="O288" s="208"/>
      <c r="AE288" s="1"/>
      <c r="AF288" s="1"/>
      <c r="AG288" s="1"/>
      <c r="AH288" s="1"/>
      <c r="AI288" s="1"/>
      <c r="AJ288" s="1"/>
      <c r="AK288" s="1"/>
    </row>
    <row r="289" spans="1:37" s="80" customFormat="1" ht="15.95" customHeight="1">
      <c r="A289" s="180" t="s">
        <v>385</v>
      </c>
      <c r="B289" s="150"/>
      <c r="C289" s="155"/>
      <c r="D289" s="155"/>
      <c r="E289" s="158" t="e">
        <f>CONCATENATE("The Total Project Cost of Rs. ",'Data Feeding'!#REF!,"/- (Rs. ",'Data Feeding'!$E$182,") consists of Civli Works of Rs. ",'Data Feeding'!$K$81,"/-, (Rs.",'Data Feeding'!$E$179,"),  Plant and  Machinery of Rs.  ",Report!$G$73,"/- (Rs. ",'Data Feeding'!$E$180,") and working capital of Rs. ",Report!$G$75,"/- (Rs. ",'Data Feeding'!$E$181,")")</f>
        <v>#REF!</v>
      </c>
      <c r="F289" s="155"/>
      <c r="G289" s="155"/>
      <c r="H289" s="150"/>
      <c r="I289" s="150"/>
      <c r="J289" s="150"/>
      <c r="K289" s="174"/>
      <c r="L289" s="150"/>
      <c r="M289" s="208"/>
      <c r="N289" s="208"/>
      <c r="O289" s="208"/>
      <c r="AE289" s="1"/>
      <c r="AF289" s="1"/>
      <c r="AG289" s="1"/>
      <c r="AH289" s="1"/>
      <c r="AI289" s="1"/>
      <c r="AJ289" s="1"/>
      <c r="AK289" s="1"/>
    </row>
    <row r="290" spans="1:37" s="80" customFormat="1" ht="15.95" customHeight="1">
      <c r="A290" s="180" t="s">
        <v>425</v>
      </c>
      <c r="B290" s="150"/>
      <c r="C290" s="155"/>
      <c r="D290" s="155"/>
      <c r="E290" s="158" t="e">
        <f>CONCATENATE("The Total Project Cost of Rs. ",'Data Feeding'!#REF!,"/- (Rs. ",'Data Feeding'!$E$182,") consists of  Plant and  Machinery of Rs.  ",Report!$G$73,"/- (Rs. ",'Data Feeding'!$E$180,") and working capital of Rs. ",Report!$G$75,"/- (Rs. ",'Data Feeding'!$E$181,")")</f>
        <v>#REF!</v>
      </c>
      <c r="F290" s="155"/>
      <c r="G290" s="155"/>
      <c r="H290" s="150"/>
      <c r="I290" s="150"/>
      <c r="J290" s="150"/>
      <c r="K290" s="174"/>
      <c r="L290" s="150"/>
      <c r="M290" s="208"/>
      <c r="N290" s="208"/>
      <c r="O290" s="208"/>
      <c r="AE290" s="1"/>
      <c r="AF290" s="1"/>
      <c r="AG290" s="1"/>
      <c r="AH290" s="1"/>
      <c r="AI290" s="1"/>
      <c r="AJ290" s="1"/>
      <c r="AK290" s="1"/>
    </row>
    <row r="291" spans="1:37" s="80" customFormat="1" ht="15.95" customHeight="1">
      <c r="A291" s="167" t="s">
        <v>308</v>
      </c>
      <c r="B291" s="150"/>
      <c r="C291" s="153"/>
      <c r="D291" s="153"/>
      <c r="E291" s="168" t="e">
        <f>+E292</f>
        <v>#REF!</v>
      </c>
      <c r="F291" s="179"/>
      <c r="G291" s="179"/>
      <c r="H291" s="150"/>
      <c r="I291" s="150"/>
      <c r="J291" s="150"/>
      <c r="K291" s="150"/>
      <c r="L291" s="150"/>
      <c r="M291" s="208"/>
      <c r="N291" s="208"/>
      <c r="O291" s="208"/>
      <c r="AE291" s="1"/>
      <c r="AF291" s="1"/>
      <c r="AG291" s="1"/>
      <c r="AH291" s="1"/>
      <c r="AI291" s="1"/>
      <c r="AJ291" s="1"/>
      <c r="AK291" s="1"/>
    </row>
    <row r="292" spans="1:37" s="80" customFormat="1" ht="15.95" customHeight="1">
      <c r="A292" s="180" t="s">
        <v>390</v>
      </c>
      <c r="B292" s="150"/>
      <c r="C292" s="155"/>
      <c r="D292" s="155"/>
      <c r="E292" s="158" t="e">
        <f>CONCATENATE(" The source/means  of finance is -  the ",'Data Feeding'!#REF!," ",#REF!," going to invest Rs. ",'Data Feeding'!#REF!,"/-  (Rs. ",'Data Feeding'!$E$185,")  and  ",'Data Feeding'!#REF!," ",'Data Feeding'!#REF!,"  requiesting ",'Data Feeding'!$E$166," is to sanction Rs. ",'Data Feeding'!#REF!,"/- (Rs. ",'Data Feeding'!$E$183,")   as ",'Data Feeding'!#REF!,"  and Rs. ",'Data Feeding'!#REF!,"/- (Rs. ",'Data Feeding'!$E$184,") as Cash Credit (CC).")</f>
        <v>#REF!</v>
      </c>
      <c r="F292" s="155"/>
      <c r="G292" s="155"/>
      <c r="H292" s="150"/>
      <c r="I292" s="150"/>
      <c r="J292" s="150"/>
      <c r="K292" s="181"/>
      <c r="L292" s="150"/>
      <c r="M292" s="208"/>
      <c r="N292" s="208"/>
      <c r="O292" s="208"/>
      <c r="AE292" s="1"/>
      <c r="AF292" s="1"/>
      <c r="AG292" s="1"/>
      <c r="AH292" s="1"/>
      <c r="AI292" s="1"/>
      <c r="AJ292" s="1"/>
      <c r="AK292" s="1"/>
    </row>
    <row r="293" spans="1:37" s="80" customFormat="1" ht="15.95" customHeight="1">
      <c r="A293" s="180" t="s">
        <v>391</v>
      </c>
      <c r="B293" s="150"/>
      <c r="C293" s="155"/>
      <c r="D293" s="155"/>
      <c r="E293" s="158" t="e">
        <f>CONCATENATE(" The source/means  of finance is -  the ",'Data Feeding'!#REF!,"  ",#REF!," going to invest Rs. ",'Data Feeding'!#REF!,"/-  (Rs. ",'Data Feeding'!$E$185,")  and  ",'Data Feeding'!#REF!," ",'Data Feeding'!#REF!,"  requiesting ",'Data Feeding'!$E$166," is to sanction Rs. ",'Data Feeding'!#REF!,"/- (Rs. ",'Data Feeding'!$E$183,")   as ",'Data Feeding'!#REF!,".")</f>
        <v>#REF!</v>
      </c>
      <c r="F293" s="155"/>
      <c r="G293" s="155"/>
      <c r="H293" s="150"/>
      <c r="I293" s="150"/>
      <c r="J293" s="150"/>
      <c r="K293" s="166"/>
      <c r="L293" s="150"/>
      <c r="M293" s="208"/>
      <c r="N293" s="208"/>
      <c r="O293" s="208"/>
      <c r="AE293" s="1"/>
      <c r="AF293" s="1"/>
      <c r="AG293" s="1"/>
      <c r="AH293" s="1"/>
      <c r="AI293" s="1"/>
      <c r="AJ293" s="1"/>
      <c r="AK293" s="1"/>
    </row>
    <row r="294" spans="1:37" s="80" customFormat="1" ht="15.95" customHeight="1">
      <c r="A294" s="180" t="s">
        <v>392</v>
      </c>
      <c r="B294" s="150"/>
      <c r="C294" s="155"/>
      <c r="D294" s="155"/>
      <c r="E294" s="158" t="e">
        <f>CONCATENATE(" The source/means  of finance is -  the ",'Data Feeding'!#REF!," ",#REF!," going to invest Rs. ",'Data Feeding'!#REF!,"/-  (Rs. ",'Data Feeding'!$E$185,")  and  ",'Data Feeding'!#REF!,"  ",'Data Feeding'!#REF!,"  requiesting ",'Data Feeding'!$E$166," is to sanction  ",'Data Feeding'!#REF!,"/- (Rs. ",'Data Feeding'!$E$184,") as Cash Credit (CC).")</f>
        <v>#REF!</v>
      </c>
      <c r="F294" s="155"/>
      <c r="G294" s="155"/>
      <c r="H294" s="150"/>
      <c r="I294" s="150"/>
      <c r="J294" s="150"/>
      <c r="K294" s="174"/>
      <c r="L294" s="150"/>
      <c r="M294" s="208"/>
      <c r="N294" s="208"/>
      <c r="O294" s="208"/>
      <c r="AE294" s="1"/>
      <c r="AF294" s="1"/>
      <c r="AG294" s="1"/>
      <c r="AH294" s="1"/>
      <c r="AI294" s="1"/>
      <c r="AJ294" s="1"/>
      <c r="AK294" s="1"/>
    </row>
    <row r="295" spans="1:37" s="80" customFormat="1" ht="15.95" customHeight="1">
      <c r="A295" s="180"/>
      <c r="B295" s="150"/>
      <c r="C295" s="155"/>
      <c r="D295" s="155"/>
      <c r="E295" s="158"/>
      <c r="F295" s="155"/>
      <c r="G295" s="155"/>
      <c r="H295" s="150"/>
      <c r="I295" s="150"/>
      <c r="J295" s="150"/>
      <c r="K295" s="150"/>
      <c r="L295" s="150"/>
      <c r="M295" s="208"/>
      <c r="N295" s="208"/>
      <c r="O295" s="208"/>
      <c r="AE295" s="1"/>
      <c r="AF295" s="1"/>
      <c r="AG295" s="1"/>
      <c r="AH295" s="1"/>
      <c r="AI295" s="1"/>
      <c r="AJ295" s="1"/>
      <c r="AK295" s="1"/>
    </row>
    <row r="296" spans="1:37" s="80" customFormat="1" ht="15.95" customHeight="1">
      <c r="A296" s="167" t="s">
        <v>393</v>
      </c>
      <c r="B296" s="150"/>
      <c r="C296" s="153"/>
      <c r="D296" s="153"/>
      <c r="E296" s="168" t="e">
        <f>+E297</f>
        <v>#REF!</v>
      </c>
      <c r="F296" s="179"/>
      <c r="G296" s="179"/>
      <c r="H296" s="150"/>
      <c r="I296" s="150"/>
      <c r="J296" s="150"/>
      <c r="K296" s="150"/>
      <c r="L296" s="150"/>
      <c r="M296" s="208"/>
      <c r="N296" s="208"/>
      <c r="O296" s="208"/>
      <c r="AE296" s="1"/>
      <c r="AF296" s="1"/>
      <c r="AG296" s="1"/>
      <c r="AH296" s="1"/>
      <c r="AI296" s="1"/>
      <c r="AJ296" s="1"/>
      <c r="AK296" s="1"/>
    </row>
    <row r="297" spans="1:37" s="80" customFormat="1" ht="15.95" customHeight="1">
      <c r="A297" s="180"/>
      <c r="B297" s="150"/>
      <c r="C297" s="157"/>
      <c r="D297" s="157"/>
      <c r="E297" s="159" t="e">
        <f>CONCATENATE("The ",#REF!," will be repaid in ",$I$69," monthly installments commencing from ",$I$70," from the date of release and rate of interest is ",$H$70,"% P.a. ")</f>
        <v>#REF!</v>
      </c>
      <c r="F297" s="157"/>
      <c r="G297" s="157"/>
      <c r="H297" s="150"/>
      <c r="I297" s="150"/>
      <c r="J297" s="150"/>
      <c r="K297" s="173"/>
      <c r="L297" s="150"/>
      <c r="M297" s="208"/>
      <c r="N297" s="208"/>
      <c r="O297" s="208"/>
      <c r="AE297" s="1"/>
      <c r="AF297" s="1"/>
      <c r="AG297" s="1"/>
      <c r="AH297" s="1"/>
      <c r="AI297" s="1"/>
      <c r="AJ297" s="1"/>
      <c r="AK297" s="1"/>
    </row>
    <row r="298" spans="1:37" s="80" customFormat="1" ht="15.95" customHeight="1">
      <c r="A298" s="180"/>
      <c r="B298" s="158"/>
      <c r="C298" s="155"/>
      <c r="D298" s="155"/>
      <c r="E298" s="155"/>
      <c r="F298" s="155"/>
      <c r="G298" s="155"/>
      <c r="H298" s="150"/>
      <c r="I298" s="150"/>
      <c r="J298" s="150"/>
      <c r="K298" s="174"/>
      <c r="L298" s="150"/>
      <c r="M298" s="208"/>
      <c r="N298" s="208"/>
      <c r="O298" s="208"/>
      <c r="AE298" s="1"/>
      <c r="AF298" s="1"/>
      <c r="AG298" s="1"/>
      <c r="AH298" s="1"/>
      <c r="AI298" s="1"/>
      <c r="AJ298" s="1"/>
      <c r="AK298" s="1"/>
    </row>
    <row r="299" spans="1:37" s="80" customFormat="1" ht="15.95" customHeight="1">
      <c r="A299" s="150"/>
      <c r="B299" s="150"/>
      <c r="C299" s="150"/>
      <c r="D299" s="150"/>
      <c r="E299" s="150"/>
      <c r="F299" s="150"/>
      <c r="G299" s="150"/>
      <c r="H299" s="150"/>
      <c r="I299" s="150"/>
      <c r="J299" s="150"/>
      <c r="K299" s="174"/>
      <c r="L299" s="150"/>
      <c r="M299" s="208"/>
      <c r="N299" s="208"/>
      <c r="O299" s="208"/>
      <c r="AE299" s="1"/>
      <c r="AF299" s="1"/>
      <c r="AG299" s="1"/>
      <c r="AH299" s="1"/>
      <c r="AI299" s="1"/>
      <c r="AJ299" s="1"/>
      <c r="AK299" s="1"/>
    </row>
    <row r="300" spans="1:37" s="80" customFormat="1" ht="15.95" customHeight="1">
      <c r="A300" s="171" t="s">
        <v>311</v>
      </c>
      <c r="B300" s="182"/>
      <c r="C300" s="183"/>
      <c r="D300" s="183"/>
      <c r="E300" s="174"/>
      <c r="F300" s="174"/>
      <c r="G300" s="174"/>
      <c r="H300" s="150" t="s">
        <v>92</v>
      </c>
      <c r="I300" s="150"/>
      <c r="J300" s="150"/>
      <c r="K300" s="174"/>
      <c r="L300" s="150"/>
      <c r="M300" s="208"/>
      <c r="N300" s="208"/>
      <c r="O300" s="208"/>
      <c r="AE300" s="1"/>
      <c r="AF300" s="1"/>
      <c r="AG300" s="1"/>
      <c r="AH300" s="1"/>
      <c r="AI300" s="1"/>
      <c r="AJ300" s="1"/>
      <c r="AK300" s="1"/>
    </row>
    <row r="301" spans="1:37" s="80" customFormat="1" ht="15.95" customHeight="1">
      <c r="A301" s="150" t="s">
        <v>92</v>
      </c>
      <c r="B301" s="158" t="s">
        <v>383</v>
      </c>
      <c r="C301" s="160"/>
      <c r="D301" s="160"/>
      <c r="E301" s="160"/>
      <c r="F301" s="160"/>
      <c r="G301" s="160"/>
      <c r="H301" s="150"/>
      <c r="I301" s="150"/>
      <c r="J301" s="150"/>
      <c r="K301" s="173"/>
      <c r="L301" s="150"/>
      <c r="M301" s="208"/>
      <c r="N301" s="208"/>
      <c r="O301" s="208"/>
      <c r="AE301" s="1"/>
      <c r="AF301" s="1"/>
      <c r="AG301" s="1"/>
      <c r="AH301" s="1"/>
      <c r="AI301" s="1"/>
      <c r="AJ301" s="1"/>
      <c r="AK301" s="1"/>
    </row>
    <row r="302" spans="1:37" s="80" customFormat="1" ht="15.95" customHeight="1">
      <c r="A302" s="150" t="s">
        <v>92</v>
      </c>
      <c r="B302" s="150"/>
      <c r="C302" s="160"/>
      <c r="D302" s="160"/>
      <c r="E302" s="160"/>
      <c r="F302" s="160"/>
      <c r="G302" s="160"/>
      <c r="H302" s="184"/>
      <c r="I302" s="150"/>
      <c r="J302" s="150"/>
      <c r="K302" s="174"/>
      <c r="L302" s="150"/>
      <c r="M302" s="208"/>
      <c r="N302" s="208"/>
      <c r="O302" s="208"/>
      <c r="AE302" s="1"/>
      <c r="AF302" s="1"/>
      <c r="AG302" s="1"/>
      <c r="AH302" s="1"/>
      <c r="AI302" s="1"/>
      <c r="AJ302" s="1"/>
      <c r="AK302" s="1"/>
    </row>
    <row r="303" spans="1:37" s="80" customFormat="1" ht="15.95" customHeight="1">
      <c r="A303" s="171" t="s">
        <v>312</v>
      </c>
      <c r="B303" s="168" t="str">
        <f>+B304</f>
        <v>and to claim Govt. Subsidy under   from Dy.Director, A.P.K.V.I.B., Ranga Reddy Dt., .</v>
      </c>
      <c r="C303" s="169"/>
      <c r="D303" s="169"/>
      <c r="E303" s="174"/>
      <c r="F303" s="174"/>
      <c r="G303" s="174"/>
      <c r="H303" s="150"/>
      <c r="I303" s="150"/>
      <c r="J303" s="150"/>
      <c r="K303" s="173"/>
      <c r="L303" s="150"/>
      <c r="M303" s="208"/>
      <c r="N303" s="208"/>
      <c r="O303" s="208"/>
      <c r="P303"/>
      <c r="Q303"/>
      <c r="AB303" s="1"/>
      <c r="AC303" s="1"/>
      <c r="AD303" s="1"/>
      <c r="AE303" s="1"/>
      <c r="AF303" s="1"/>
      <c r="AG303" s="1"/>
      <c r="AH303" s="1"/>
      <c r="AI303" s="1"/>
      <c r="AJ303" s="1"/>
      <c r="AK303" s="1"/>
    </row>
    <row r="304" spans="1:37" s="80" customFormat="1" ht="15.95" customHeight="1">
      <c r="A304" s="150" t="s">
        <v>92</v>
      </c>
      <c r="B304" s="158" t="str">
        <f>CONCATENATE("and to claim Govt. Subsidy under  ",'Data Feeding'!$E$113," from ",'Data Feeding'!$E$169,".")</f>
        <v>and to claim Govt. Subsidy under   from Dy.Director, A.P.K.V.I.B., Ranga Reddy Dt., .</v>
      </c>
      <c r="C304" s="160"/>
      <c r="D304" s="160"/>
      <c r="E304" s="160"/>
      <c r="F304" s="160"/>
      <c r="G304" s="160"/>
      <c r="H304" s="150"/>
      <c r="I304" s="150"/>
      <c r="J304" s="150"/>
      <c r="K304" s="174"/>
      <c r="L304" s="150"/>
      <c r="M304" s="208"/>
      <c r="N304" s="208"/>
      <c r="O304" s="208"/>
      <c r="P304"/>
      <c r="Q304"/>
      <c r="AB304" s="1"/>
      <c r="AC304" s="1"/>
      <c r="AD304" s="1"/>
      <c r="AE304" s="1"/>
      <c r="AF304" s="1"/>
      <c r="AG304" s="1"/>
      <c r="AH304" s="1"/>
      <c r="AI304" s="1"/>
      <c r="AJ304" s="1"/>
      <c r="AK304" s="1"/>
    </row>
    <row r="305" spans="1:37" s="80" customFormat="1" ht="15.95" customHeight="1">
      <c r="A305" s="150"/>
      <c r="B305" s="185"/>
      <c r="C305" s="186"/>
      <c r="D305" s="186"/>
      <c r="E305" s="174"/>
      <c r="F305" s="174"/>
      <c r="G305" s="174"/>
      <c r="H305" s="150"/>
      <c r="I305" s="150"/>
      <c r="J305" s="150"/>
      <c r="K305" s="173"/>
      <c r="L305" s="150"/>
      <c r="M305" s="208"/>
      <c r="N305" s="208"/>
      <c r="O305" s="208"/>
      <c r="P305"/>
      <c r="Q305"/>
      <c r="AB305" s="1"/>
      <c r="AC305" s="1"/>
      <c r="AD305" s="1"/>
      <c r="AE305" s="1"/>
      <c r="AF305" s="1"/>
      <c r="AG305" s="1"/>
      <c r="AH305" s="1"/>
      <c r="AI305" s="1"/>
      <c r="AJ305" s="1"/>
      <c r="AK305" s="1"/>
    </row>
    <row r="306" spans="1:37" s="80" customFormat="1" ht="15.95" customHeight="1">
      <c r="A306" s="171" t="s">
        <v>310</v>
      </c>
      <c r="B306" s="187" t="str">
        <f>+B307</f>
        <v>(Note: Year means 12  months operations from the date of commencement of business and not financial year).</v>
      </c>
      <c r="C306" s="183"/>
      <c r="D306" s="183"/>
      <c r="E306" s="174"/>
      <c r="F306" s="174"/>
      <c r="G306" s="174"/>
      <c r="H306" s="150"/>
      <c r="I306" s="150"/>
      <c r="J306" s="150"/>
      <c r="K306" s="173"/>
      <c r="L306" s="150"/>
      <c r="M306" s="208"/>
      <c r="N306" s="208"/>
      <c r="O306" s="208"/>
      <c r="P306"/>
      <c r="Q306"/>
      <c r="AB306" s="1"/>
      <c r="AC306" s="1"/>
      <c r="AD306" s="1"/>
      <c r="AE306" s="1"/>
      <c r="AF306" s="1"/>
      <c r="AG306" s="1"/>
      <c r="AH306" s="1"/>
      <c r="AI306" s="1"/>
      <c r="AJ306" s="1"/>
      <c r="AK306" s="1"/>
    </row>
    <row r="307" spans="1:37" s="80" customFormat="1" ht="15.95" customHeight="1">
      <c r="A307" s="150" t="s">
        <v>92</v>
      </c>
      <c r="B307" s="156" t="str">
        <f>CONCATENATE("(Note: Year means 12  months operations from the date of commencement of business and not financial year).")</f>
        <v>(Note: Year means 12  months operations from the date of commencement of business and not financial year).</v>
      </c>
      <c r="C307" s="159"/>
      <c r="D307" s="159"/>
      <c r="E307" s="159"/>
      <c r="F307" s="159"/>
      <c r="G307" s="159"/>
      <c r="H307" s="150"/>
      <c r="I307" s="150"/>
      <c r="J307" s="150"/>
      <c r="K307" s="174"/>
      <c r="L307" s="150"/>
      <c r="M307" s="208"/>
      <c r="N307" s="208"/>
      <c r="O307" s="208"/>
      <c r="P307"/>
      <c r="Q307"/>
      <c r="AB307" s="1"/>
      <c r="AC307" s="1"/>
      <c r="AD307" s="1"/>
      <c r="AE307" s="1"/>
      <c r="AF307" s="1"/>
      <c r="AG307" s="1"/>
      <c r="AH307" s="1"/>
      <c r="AI307" s="1"/>
      <c r="AJ307" s="1"/>
      <c r="AK307" s="1"/>
    </row>
    <row r="308" spans="1:37" s="80" customFormat="1" ht="15.95" customHeight="1">
      <c r="A308" s="150" t="s">
        <v>92</v>
      </c>
      <c r="B308" s="156" t="e">
        <f>CONCATENATE("(Note:  First  year ie., During ",Report!$F$297,",  ",'Data Feeding'!#REF!,"  months operations from the date of commencement of business and not 12 months).")</f>
        <v>#REF!</v>
      </c>
      <c r="C308" s="159"/>
      <c r="D308" s="159"/>
      <c r="E308" s="159"/>
      <c r="F308" s="159"/>
      <c r="G308" s="159"/>
      <c r="H308" s="150"/>
      <c r="I308" s="150"/>
      <c r="J308" s="150"/>
      <c r="K308" s="173"/>
      <c r="L308" s="150"/>
      <c r="M308" s="208"/>
      <c r="N308" s="208"/>
      <c r="O308" s="208"/>
      <c r="P308"/>
      <c r="Q308"/>
      <c r="AB308" s="1"/>
      <c r="AC308" s="1"/>
      <c r="AD308" s="1"/>
      <c r="AE308" s="1"/>
      <c r="AF308" s="1"/>
      <c r="AG308" s="1"/>
      <c r="AH308" s="1"/>
      <c r="AI308" s="1"/>
      <c r="AJ308" s="1"/>
      <c r="AK308" s="1"/>
    </row>
    <row r="309" spans="1:37" s="83" customFormat="1" ht="15.95" customHeight="1">
      <c r="A309" s="171" t="s">
        <v>314</v>
      </c>
      <c r="B309" s="168" t="e">
        <f>+B310</f>
        <v>#REF!</v>
      </c>
      <c r="C309" s="169"/>
      <c r="D309" s="169"/>
      <c r="E309" s="174"/>
      <c r="F309" s="174"/>
      <c r="G309" s="174"/>
      <c r="H309" s="150"/>
      <c r="I309" s="157"/>
      <c r="J309" s="150"/>
      <c r="K309" s="174"/>
      <c r="L309" s="150"/>
      <c r="M309" s="208"/>
      <c r="N309" s="208"/>
      <c r="O309" s="208"/>
      <c r="AB309" s="1"/>
      <c r="AC309" s="1"/>
      <c r="AD309" s="1"/>
      <c r="AE309" s="1"/>
      <c r="AF309" s="1"/>
      <c r="AG309" s="1"/>
      <c r="AH309" s="1"/>
      <c r="AI309" s="1"/>
      <c r="AJ309" s="1"/>
      <c r="AK309" s="1"/>
    </row>
    <row r="310" spans="1:37" s="83" customFormat="1" ht="15.95" customHeight="1">
      <c r="A310" s="152" t="s">
        <v>333</v>
      </c>
      <c r="B310" s="161" t="e">
        <f>CONCATENATE("Out of the total subsidy of Rs. ",'Data Feeding'!#REF!,"/-,  Rs. ",'Data Feeding'!#REF!,"/- adjusted towards Term Loan and balance amount of Rs. ",'Data Feeding'!#REF!," /- is adjusted against C.C. in the 37th month (Proportionatly) and  Interest on FDR was not considered and as well as interest on Term Loan &amp; CC was also not charged to the extent of FDR amont as per the RBI &amp; scheme guidelines")</f>
        <v>#REF!</v>
      </c>
      <c r="C310" s="162"/>
      <c r="D310" s="162"/>
      <c r="E310" s="162"/>
      <c r="F310" s="162"/>
      <c r="G310" s="162"/>
      <c r="H310" s="150"/>
      <c r="I310" s="150"/>
      <c r="J310" s="150"/>
      <c r="K310" s="150"/>
      <c r="L310" s="150"/>
      <c r="M310" s="208"/>
      <c r="N310" s="208"/>
      <c r="O310" s="208"/>
      <c r="P310"/>
      <c r="AB310" s="1"/>
      <c r="AC310" s="1"/>
      <c r="AD310" s="1"/>
      <c r="AE310" s="1"/>
      <c r="AF310" s="1"/>
      <c r="AG310" s="1"/>
      <c r="AH310" s="1"/>
      <c r="AI310" s="1"/>
      <c r="AJ310" s="1"/>
      <c r="AK310" s="1"/>
    </row>
    <row r="311" spans="1:37" s="83" customFormat="1" ht="15.95" customHeight="1">
      <c r="A311" s="150" t="s">
        <v>92</v>
      </c>
      <c r="B311" s="161"/>
      <c r="C311" s="162"/>
      <c r="D311" s="162"/>
      <c r="E311" s="160"/>
      <c r="F311" s="160"/>
      <c r="G311" s="160"/>
      <c r="H311" s="150"/>
      <c r="I311" s="150"/>
      <c r="J311" s="150"/>
      <c r="K311" s="150"/>
      <c r="L311" s="150"/>
      <c r="M311" s="208"/>
      <c r="N311" s="208"/>
      <c r="O311" s="208"/>
      <c r="P311"/>
      <c r="AB311" s="1"/>
      <c r="AC311" s="1"/>
      <c r="AD311" s="1"/>
      <c r="AE311" s="1"/>
      <c r="AF311" s="1"/>
      <c r="AG311" s="1"/>
      <c r="AH311" s="1"/>
      <c r="AI311" s="1"/>
      <c r="AJ311" s="1"/>
      <c r="AK311" s="1"/>
    </row>
    <row r="312" spans="1:37" s="83" customFormat="1" ht="15.95" customHeight="1">
      <c r="A312" s="171" t="s">
        <v>313</v>
      </c>
      <c r="B312" s="168" t="e">
        <f>+B313</f>
        <v>#REF!</v>
      </c>
      <c r="C312" s="169"/>
      <c r="D312" s="169"/>
      <c r="E312" s="174"/>
      <c r="F312" s="174"/>
      <c r="G312" s="174"/>
      <c r="H312" s="150"/>
      <c r="I312" s="150"/>
      <c r="J312" s="150"/>
      <c r="K312" s="150"/>
      <c r="L312" s="150"/>
      <c r="M312" s="208"/>
      <c r="N312" s="208"/>
      <c r="O312" s="208"/>
      <c r="P312"/>
      <c r="AB312" s="1"/>
      <c r="AC312" s="1"/>
      <c r="AD312" s="1"/>
      <c r="AE312" s="1"/>
      <c r="AF312" s="1"/>
      <c r="AG312" s="1"/>
      <c r="AH312" s="1"/>
      <c r="AI312" s="1"/>
      <c r="AJ312" s="1"/>
      <c r="AK312" s="1"/>
    </row>
    <row r="313" spans="1:37" ht="15.95" customHeight="1">
      <c r="A313" s="152" t="s">
        <v>334</v>
      </c>
      <c r="B313" s="163" t="e">
        <f>CONCATENATE(" The ",'Data Feeding'!$E$169,"  will provide Rs. ",'Data Feeding'!#REF!,"/-  as  Govt. Subsidy  under ",'Data Feeding'!$E$113,"  to the benificiary. (Note: Interest on FDR is not considered and as well as Interest on Term Loan &amp; CC was also not considered to the extent of ",Report!M239," FDR amount as per the Scheme Guidelines. The FDR will be adjusted towards loan at the end of third year from the date of FDR receipt by bank.")</f>
        <v>#REF!</v>
      </c>
      <c r="C313" s="164"/>
      <c r="D313" s="164"/>
      <c r="E313" s="164"/>
      <c r="F313" s="164"/>
      <c r="G313" s="164"/>
      <c r="H313" s="150"/>
      <c r="I313" s="150"/>
      <c r="J313" s="150"/>
      <c r="K313" s="150"/>
      <c r="L313" s="150"/>
      <c r="M313" s="208"/>
      <c r="N313" s="208"/>
      <c r="O313" s="208"/>
      <c r="AB313" s="1"/>
      <c r="AC313" s="1"/>
      <c r="AD313" s="1"/>
      <c r="AE313" s="1"/>
      <c r="AF313" s="1"/>
      <c r="AG313" s="1"/>
      <c r="AH313" s="1"/>
      <c r="AI313" s="1"/>
      <c r="AJ313" s="1"/>
      <c r="AK313" s="1"/>
    </row>
    <row r="314" spans="1:37" ht="15.95" customHeight="1">
      <c r="A314" s="150" t="s">
        <v>354</v>
      </c>
      <c r="B314" s="163" t="e">
        <f>CONCATENATE(" The ",'Data Feeding'!$E$169,"  will provide Rs. ",'Data Feeding'!#REF!,"/-  as  Govt. Subsidy  under ",'Data Feeding'!$E$113,"  to the benificiary.")</f>
        <v>#REF!</v>
      </c>
      <c r="C314" s="164"/>
      <c r="D314" s="164"/>
      <c r="E314" s="164"/>
      <c r="F314" s="164"/>
      <c r="G314" s="164"/>
      <c r="H314" s="150"/>
      <c r="I314" s="150"/>
      <c r="J314" s="150"/>
      <c r="K314" s="150"/>
      <c r="L314" s="150"/>
      <c r="M314" s="208"/>
      <c r="N314" s="208"/>
      <c r="O314" s="208"/>
      <c r="AB314" s="1"/>
      <c r="AC314" s="1"/>
      <c r="AD314" s="1"/>
      <c r="AE314" s="1"/>
      <c r="AF314" s="1"/>
      <c r="AG314" s="1"/>
      <c r="AH314" s="1"/>
      <c r="AI314" s="1"/>
      <c r="AJ314" s="1"/>
      <c r="AK314" s="1"/>
    </row>
    <row r="315" spans="1:37" ht="15.95" customHeight="1">
      <c r="A315" s="171" t="s">
        <v>309</v>
      </c>
      <c r="B315" s="157" t="str">
        <f>+B316</f>
        <v>NOTE:  Due to Adjustment of  Subsidy (TDR) in Term Loan in the Ist Quarter of 4th year the DSCR will be low during that year and later years DSCR  will be high as the repayment is less.</v>
      </c>
      <c r="C315" s="157"/>
      <c r="D315" s="157"/>
      <c r="E315" s="179"/>
      <c r="F315" s="179"/>
      <c r="G315" s="179"/>
      <c r="H315" s="150"/>
      <c r="I315" s="150"/>
      <c r="J315" s="150"/>
      <c r="K315" s="150"/>
      <c r="L315" s="150"/>
      <c r="M315" s="208"/>
      <c r="N315" s="208"/>
      <c r="O315" s="208"/>
      <c r="AB315" s="1"/>
      <c r="AC315" s="1"/>
      <c r="AD315" s="1"/>
      <c r="AE315" s="1"/>
      <c r="AF315" s="1"/>
      <c r="AG315" s="1"/>
      <c r="AH315" s="1"/>
      <c r="AI315" s="1"/>
      <c r="AJ315" s="1"/>
      <c r="AK315" s="1"/>
    </row>
    <row r="316" spans="1:37" ht="15.95" customHeight="1">
      <c r="A316" s="188" t="s">
        <v>98</v>
      </c>
      <c r="B316" s="156" t="s">
        <v>328</v>
      </c>
      <c r="C316" s="159"/>
      <c r="D316" s="159"/>
      <c r="E316" s="159"/>
      <c r="F316" s="159"/>
      <c r="G316" s="159"/>
      <c r="H316" s="150"/>
      <c r="I316" s="150"/>
      <c r="J316" s="150"/>
      <c r="K316" s="150"/>
      <c r="L316" s="150"/>
      <c r="M316" s="208"/>
      <c r="N316" s="208"/>
      <c r="O316" s="208"/>
      <c r="AB316" s="1"/>
      <c r="AC316" s="1"/>
      <c r="AD316" s="1"/>
      <c r="AE316" s="1"/>
      <c r="AF316" s="1"/>
      <c r="AG316" s="1"/>
      <c r="AH316" s="1"/>
      <c r="AI316" s="1"/>
      <c r="AJ316" s="1"/>
      <c r="AK316" s="1"/>
    </row>
    <row r="317" spans="1:37" ht="15.95" customHeight="1">
      <c r="A317" s="150" t="s">
        <v>92</v>
      </c>
      <c r="B317" s="155" t="s">
        <v>92</v>
      </c>
      <c r="C317" s="174"/>
      <c r="D317" s="174"/>
      <c r="E317" s="174"/>
      <c r="F317" s="174"/>
      <c r="G317" s="174"/>
      <c r="H317" s="150"/>
      <c r="I317" s="150"/>
      <c r="J317" s="150"/>
      <c r="K317" s="150"/>
      <c r="L317" s="150"/>
      <c r="M317" s="208"/>
      <c r="N317" s="208"/>
      <c r="O317" s="208"/>
      <c r="AB317" s="1"/>
      <c r="AC317" s="1"/>
      <c r="AD317" s="1"/>
      <c r="AE317" s="1"/>
      <c r="AF317" s="1"/>
      <c r="AG317" s="1"/>
      <c r="AH317" s="1"/>
      <c r="AI317" s="1"/>
      <c r="AJ317" s="1"/>
      <c r="AK317" s="1"/>
    </row>
    <row r="318" spans="1:37" ht="15.95" customHeight="1">
      <c r="A318" s="171" t="s">
        <v>315</v>
      </c>
      <c r="B318" s="187" t="str">
        <f>+B319</f>
        <v>&lt;--Adj. of Subsidy</v>
      </c>
      <c r="C318" s="183"/>
      <c r="D318" s="183"/>
      <c r="E318" s="174"/>
      <c r="F318" s="174"/>
      <c r="G318" s="174"/>
      <c r="H318" s="150"/>
      <c r="I318" s="150"/>
      <c r="J318" s="150"/>
      <c r="K318" s="150"/>
      <c r="L318" s="150"/>
      <c r="M318" s="208"/>
      <c r="N318" s="208"/>
      <c r="O318" s="208"/>
      <c r="AB318" s="1"/>
      <c r="AC318" s="1"/>
      <c r="AD318" s="1"/>
      <c r="AE318" s="1"/>
      <c r="AF318" s="1"/>
      <c r="AG318" s="1"/>
      <c r="AH318" s="1"/>
      <c r="AI318" s="1"/>
      <c r="AJ318" s="1"/>
      <c r="AK318" s="1"/>
    </row>
    <row r="319" spans="1:37" ht="15.95" customHeight="1">
      <c r="A319" s="150" t="s">
        <v>92</v>
      </c>
      <c r="B319" s="156" t="s">
        <v>316</v>
      </c>
      <c r="C319" s="165"/>
      <c r="D319" s="165"/>
      <c r="E319" s="166"/>
      <c r="F319" s="166"/>
      <c r="G319" s="166"/>
      <c r="H319" s="150"/>
      <c r="I319" s="150"/>
      <c r="J319" s="150"/>
      <c r="K319" s="150"/>
      <c r="L319" s="150"/>
      <c r="M319" s="208"/>
      <c r="N319" s="208"/>
      <c r="O319" s="208"/>
      <c r="AB319" s="1"/>
      <c r="AC319" s="1"/>
      <c r="AD319" s="1"/>
      <c r="AE319" s="1"/>
      <c r="AF319" s="1"/>
      <c r="AG319" s="1"/>
      <c r="AH319" s="1"/>
      <c r="AI319" s="1"/>
      <c r="AJ319" s="1"/>
      <c r="AK319" s="1"/>
    </row>
    <row r="320" spans="1:37" ht="15.95" customHeight="1">
      <c r="A320" s="150" t="s">
        <v>92</v>
      </c>
      <c r="B320" s="179"/>
      <c r="C320" s="179"/>
      <c r="D320" s="179"/>
      <c r="E320" s="179"/>
      <c r="F320" s="179"/>
      <c r="G320" s="179"/>
      <c r="H320" s="150"/>
      <c r="I320" s="174"/>
      <c r="J320" s="150"/>
      <c r="K320" s="150"/>
      <c r="L320" s="150"/>
      <c r="M320" s="208"/>
      <c r="N320" s="208"/>
      <c r="O320" s="208"/>
      <c r="AB320" s="1"/>
      <c r="AC320" s="1"/>
      <c r="AD320" s="1"/>
      <c r="AE320" s="1"/>
      <c r="AF320" s="1"/>
      <c r="AG320" s="1"/>
      <c r="AH320" s="1"/>
      <c r="AI320" s="1"/>
      <c r="AJ320" s="1"/>
      <c r="AK320" s="1"/>
    </row>
    <row r="321" spans="1:37" ht="15.95" customHeight="1">
      <c r="A321" s="150"/>
      <c r="B321" s="150"/>
      <c r="C321" s="150"/>
      <c r="D321" s="150"/>
      <c r="E321" s="150"/>
      <c r="F321" s="150"/>
      <c r="G321" s="150"/>
      <c r="H321" s="150"/>
      <c r="I321" s="174"/>
      <c r="J321" s="150"/>
      <c r="K321" s="150"/>
      <c r="L321" s="150"/>
      <c r="M321" s="208"/>
      <c r="N321" s="208"/>
      <c r="O321" s="208"/>
      <c r="AB321" s="1"/>
      <c r="AC321" s="1"/>
      <c r="AD321" s="1"/>
      <c r="AE321" s="1"/>
      <c r="AF321" s="1"/>
      <c r="AG321" s="1"/>
      <c r="AH321" s="1"/>
      <c r="AI321" s="1"/>
      <c r="AJ321" s="1"/>
      <c r="AK321" s="1"/>
    </row>
    <row r="322" spans="1:37" ht="15.95" customHeight="1">
      <c r="A322" s="150"/>
      <c r="B322" s="150"/>
      <c r="C322" s="150"/>
      <c r="D322" s="150"/>
      <c r="E322" s="150"/>
      <c r="F322" s="150"/>
      <c r="G322" s="150"/>
      <c r="H322" s="150"/>
      <c r="I322" s="150"/>
      <c r="J322" s="150"/>
      <c r="K322" s="150"/>
      <c r="L322" s="150"/>
      <c r="M322" s="208"/>
      <c r="N322" s="208"/>
      <c r="O322" s="208"/>
      <c r="AB322" s="1"/>
      <c r="AC322" s="1"/>
      <c r="AD322" s="1"/>
      <c r="AE322" s="1"/>
      <c r="AF322" s="1"/>
      <c r="AG322" s="1"/>
      <c r="AH322" s="1"/>
      <c r="AI322" s="1"/>
      <c r="AJ322" s="1"/>
      <c r="AK322" s="1"/>
    </row>
    <row r="323" spans="1:37" ht="15.95" customHeight="1">
      <c r="A323" s="150"/>
      <c r="B323" s="150"/>
      <c r="C323" s="150"/>
      <c r="D323" s="150"/>
      <c r="E323" s="150"/>
      <c r="F323" s="150"/>
      <c r="G323" s="150"/>
      <c r="H323" s="150"/>
      <c r="I323" s="150"/>
      <c r="J323" s="150"/>
      <c r="K323" s="150"/>
      <c r="L323" s="150"/>
      <c r="M323" s="208"/>
      <c r="N323" s="208"/>
      <c r="O323" s="208"/>
      <c r="AB323" s="1"/>
      <c r="AC323" s="1"/>
      <c r="AD323" s="1"/>
      <c r="AE323" s="1"/>
      <c r="AF323" s="1"/>
      <c r="AG323" s="1"/>
      <c r="AH323" s="1"/>
      <c r="AI323" s="1"/>
      <c r="AJ323" s="1"/>
      <c r="AK323" s="1"/>
    </row>
    <row r="324" spans="1:37" ht="15.95" customHeight="1">
      <c r="A324" s="150"/>
      <c r="B324" s="150"/>
      <c r="C324" s="150"/>
      <c r="D324" s="150"/>
      <c r="E324" s="150"/>
      <c r="F324" s="150"/>
      <c r="G324" s="150"/>
      <c r="H324" s="150"/>
      <c r="I324" s="150"/>
      <c r="J324" s="150"/>
      <c r="K324" s="150"/>
      <c r="L324" s="150"/>
      <c r="M324" s="208"/>
      <c r="N324" s="208"/>
      <c r="O324" s="208"/>
      <c r="AB324" s="1"/>
      <c r="AC324" s="1"/>
      <c r="AD324" s="1"/>
      <c r="AE324" s="1"/>
      <c r="AF324" s="1"/>
      <c r="AG324" s="1"/>
      <c r="AH324" s="1"/>
      <c r="AI324" s="1"/>
      <c r="AJ324" s="1"/>
      <c r="AK324" s="1"/>
    </row>
    <row r="325" spans="1:37" ht="15.95" customHeight="1">
      <c r="A325" s="150"/>
      <c r="B325" s="150"/>
      <c r="C325" s="150"/>
      <c r="D325" s="150"/>
      <c r="E325" s="150"/>
      <c r="F325" s="150"/>
      <c r="G325" s="150"/>
      <c r="H325" s="150"/>
      <c r="I325" s="150"/>
      <c r="J325" s="150"/>
      <c r="K325" s="150"/>
      <c r="L325" s="150"/>
      <c r="M325" s="208"/>
      <c r="N325" s="208"/>
      <c r="O325" s="208"/>
      <c r="AB325" s="1"/>
      <c r="AC325" s="1"/>
      <c r="AD325" s="1"/>
      <c r="AE325" s="1"/>
      <c r="AF325" s="1"/>
      <c r="AG325" s="1"/>
      <c r="AH325" s="1"/>
      <c r="AI325" s="1"/>
      <c r="AJ325" s="1"/>
      <c r="AK325" s="1"/>
    </row>
    <row r="326" spans="1:37" ht="15.95" customHeight="1">
      <c r="A326" s="150"/>
      <c r="B326" s="150"/>
      <c r="C326" s="150"/>
      <c r="D326" s="150"/>
      <c r="E326" s="150"/>
      <c r="F326" s="150"/>
      <c r="G326" s="150"/>
      <c r="H326" s="150"/>
      <c r="I326" s="150"/>
      <c r="J326" s="150"/>
      <c r="K326" s="150"/>
      <c r="L326" s="150"/>
      <c r="M326" s="208"/>
      <c r="N326" s="208"/>
      <c r="O326" s="208"/>
      <c r="AB326" s="1"/>
      <c r="AC326" s="1"/>
      <c r="AD326" s="1"/>
      <c r="AE326" s="1"/>
      <c r="AF326" s="1"/>
      <c r="AG326" s="1"/>
      <c r="AH326" s="1"/>
      <c r="AI326" s="1"/>
      <c r="AJ326" s="1"/>
      <c r="AK326" s="1"/>
    </row>
    <row r="327" spans="1:37" ht="15.95" customHeight="1">
      <c r="A327" s="150"/>
      <c r="B327" s="150"/>
      <c r="C327" s="150"/>
      <c r="D327" s="150"/>
      <c r="E327" s="150"/>
      <c r="F327" s="150"/>
      <c r="G327" s="150"/>
      <c r="H327" s="150"/>
      <c r="I327" s="150"/>
      <c r="J327" s="150"/>
      <c r="K327" s="150"/>
      <c r="L327" s="150"/>
      <c r="M327" s="208"/>
      <c r="N327" s="208"/>
      <c r="O327" s="208"/>
      <c r="AB327" s="1"/>
      <c r="AC327" s="1"/>
      <c r="AD327" s="1"/>
      <c r="AE327" s="1"/>
      <c r="AF327" s="1"/>
      <c r="AG327" s="1"/>
      <c r="AH327" s="1"/>
      <c r="AI327" s="1"/>
      <c r="AJ327" s="1"/>
      <c r="AK327" s="1"/>
    </row>
    <row r="328" spans="1:37" ht="15.95" customHeight="1">
      <c r="A328" s="150"/>
      <c r="B328" s="150"/>
      <c r="C328" s="150"/>
      <c r="D328" s="150"/>
      <c r="E328" s="150"/>
      <c r="F328" s="150"/>
      <c r="G328" s="150"/>
      <c r="H328" s="150"/>
      <c r="I328" s="150"/>
      <c r="J328" s="150"/>
      <c r="K328" s="150"/>
      <c r="L328" s="150"/>
      <c r="M328" s="208"/>
      <c r="N328" s="208"/>
      <c r="O328" s="208"/>
      <c r="AB328" s="1"/>
      <c r="AC328" s="1"/>
      <c r="AD328" s="1"/>
      <c r="AE328" s="1"/>
      <c r="AF328" s="1"/>
      <c r="AG328" s="1"/>
      <c r="AH328" s="1"/>
      <c r="AI328" s="1"/>
      <c r="AJ328" s="1"/>
      <c r="AK328" s="1"/>
    </row>
    <row r="329" spans="1:37" ht="15.95" customHeight="1">
      <c r="A329" s="150"/>
      <c r="B329" s="150"/>
      <c r="C329" s="150"/>
      <c r="D329" s="150"/>
      <c r="E329" s="150"/>
      <c r="F329" s="150"/>
      <c r="G329" s="150"/>
      <c r="H329" s="150"/>
      <c r="I329" s="150"/>
      <c r="J329" s="150"/>
      <c r="K329" s="150"/>
      <c r="L329" s="150"/>
      <c r="M329" s="208"/>
      <c r="N329" s="208"/>
      <c r="O329" s="208"/>
      <c r="AB329" s="1"/>
      <c r="AC329" s="1"/>
      <c r="AD329" s="1"/>
      <c r="AE329" s="1"/>
      <c r="AF329" s="1"/>
      <c r="AG329" s="1"/>
      <c r="AH329" s="1"/>
      <c r="AI329" s="1"/>
      <c r="AJ329" s="1"/>
      <c r="AK329" s="1"/>
    </row>
    <row r="330" spans="1:37" ht="15.95" customHeight="1">
      <c r="A330" s="150"/>
      <c r="B330" s="150"/>
      <c r="C330" s="150"/>
      <c r="D330" s="150"/>
      <c r="E330" s="150"/>
      <c r="F330" s="150"/>
      <c r="G330" s="150"/>
      <c r="H330" s="150"/>
      <c r="I330" s="150"/>
      <c r="J330" s="150"/>
      <c r="K330" s="150"/>
      <c r="L330" s="150"/>
      <c r="M330" s="208"/>
      <c r="N330" s="208"/>
      <c r="O330" s="208"/>
      <c r="AB330" s="1"/>
      <c r="AC330" s="1"/>
      <c r="AD330" s="1"/>
      <c r="AE330" s="1"/>
      <c r="AF330" s="1"/>
      <c r="AG330" s="1"/>
      <c r="AH330" s="1"/>
      <c r="AI330" s="1"/>
      <c r="AJ330" s="1"/>
      <c r="AK330" s="1"/>
    </row>
    <row r="331" spans="1:37" ht="15.95" customHeight="1">
      <c r="A331" s="150"/>
      <c r="B331" s="150"/>
      <c r="C331" s="150"/>
      <c r="D331" s="150"/>
      <c r="E331" s="150"/>
      <c r="F331" s="150"/>
      <c r="G331" s="150"/>
      <c r="H331" s="150"/>
      <c r="I331" s="150"/>
      <c r="J331" s="150"/>
      <c r="K331" s="150"/>
      <c r="L331" s="150"/>
      <c r="M331" s="208"/>
      <c r="N331" s="208"/>
      <c r="O331" s="208"/>
      <c r="AB331" s="1"/>
      <c r="AC331" s="1"/>
      <c r="AD331" s="1"/>
      <c r="AE331" s="1"/>
      <c r="AF331" s="1"/>
      <c r="AG331" s="1"/>
      <c r="AH331" s="1"/>
      <c r="AI331" s="1"/>
      <c r="AJ331" s="1"/>
      <c r="AK331" s="1"/>
    </row>
    <row r="332" spans="1:37" ht="15.95" customHeight="1">
      <c r="A332" s="150"/>
      <c r="B332" s="150"/>
      <c r="C332" s="150"/>
      <c r="D332" s="150"/>
      <c r="E332" s="150"/>
      <c r="F332" s="150"/>
      <c r="G332" s="150"/>
      <c r="H332" s="150"/>
      <c r="I332" s="150"/>
      <c r="J332" s="150"/>
      <c r="K332" s="150"/>
      <c r="L332" s="150"/>
      <c r="M332" s="208"/>
      <c r="N332" s="208"/>
      <c r="O332" s="208"/>
      <c r="AB332" s="1"/>
      <c r="AC332" s="1"/>
      <c r="AD332" s="1"/>
      <c r="AE332" s="1"/>
      <c r="AF332" s="1"/>
      <c r="AG332" s="1"/>
      <c r="AH332" s="1"/>
      <c r="AI332" s="1"/>
      <c r="AJ332" s="1"/>
      <c r="AK332" s="1"/>
    </row>
    <row r="333" spans="1:37" ht="15.95" customHeight="1">
      <c r="A333" s="150"/>
      <c r="B333" s="150"/>
      <c r="C333" s="150"/>
      <c r="D333" s="150"/>
      <c r="E333" s="150"/>
      <c r="F333" s="150"/>
      <c r="G333" s="150"/>
      <c r="H333" s="150"/>
      <c r="I333" s="150"/>
      <c r="J333" s="150"/>
      <c r="K333" s="150"/>
      <c r="L333" s="150"/>
      <c r="M333" s="208"/>
      <c r="N333" s="208"/>
      <c r="O333" s="208"/>
      <c r="AB333" s="1"/>
      <c r="AC333" s="1"/>
      <c r="AD333" s="1"/>
      <c r="AE333" s="1"/>
      <c r="AF333" s="1"/>
      <c r="AG333" s="1"/>
      <c r="AH333" s="1"/>
      <c r="AI333" s="1"/>
      <c r="AJ333" s="1"/>
      <c r="AK333" s="1"/>
    </row>
    <row r="334" spans="1:37" ht="15.95" customHeight="1">
      <c r="A334" s="150"/>
      <c r="B334" s="150"/>
      <c r="C334" s="150"/>
      <c r="D334" s="150"/>
      <c r="E334" s="150"/>
      <c r="F334" s="150"/>
      <c r="G334" s="150"/>
      <c r="H334" s="150"/>
      <c r="I334" s="150"/>
      <c r="J334" s="150"/>
      <c r="K334" s="150"/>
      <c r="L334" s="150"/>
      <c r="M334" s="208"/>
      <c r="N334" s="208"/>
      <c r="O334" s="208"/>
      <c r="AB334" s="1"/>
      <c r="AC334" s="1"/>
      <c r="AD334" s="1"/>
      <c r="AE334" s="1"/>
      <c r="AF334" s="1"/>
      <c r="AG334" s="1"/>
      <c r="AH334" s="1"/>
      <c r="AI334" s="1"/>
      <c r="AJ334" s="1"/>
      <c r="AK334" s="1"/>
    </row>
    <row r="335" spans="1:37" ht="15.95" customHeight="1">
      <c r="A335" s="150"/>
      <c r="B335" s="150"/>
      <c r="C335" s="150"/>
      <c r="D335" s="150"/>
      <c r="E335" s="150"/>
      <c r="F335" s="150"/>
      <c r="G335" s="150"/>
      <c r="H335" s="150"/>
      <c r="I335" s="150"/>
      <c r="J335" s="150"/>
      <c r="K335" s="150"/>
      <c r="L335" s="150"/>
      <c r="M335" s="208"/>
      <c r="N335" s="208"/>
      <c r="O335" s="208"/>
      <c r="AB335" s="1"/>
      <c r="AC335" s="1"/>
      <c r="AD335" s="1"/>
      <c r="AE335" s="1"/>
      <c r="AF335" s="1"/>
      <c r="AG335" s="1"/>
      <c r="AH335" s="1"/>
      <c r="AI335" s="1"/>
      <c r="AJ335" s="1"/>
      <c r="AK335" s="1"/>
    </row>
    <row r="336" spans="1:37" ht="15.95" customHeight="1">
      <c r="A336" s="150"/>
      <c r="B336" s="150"/>
      <c r="C336" s="150"/>
      <c r="D336" s="150"/>
      <c r="E336" s="150"/>
      <c r="F336" s="150"/>
      <c r="G336" s="150"/>
      <c r="H336" s="150"/>
      <c r="I336" s="150"/>
      <c r="J336" s="150"/>
      <c r="K336" s="150"/>
      <c r="L336" s="150"/>
      <c r="M336" s="208"/>
      <c r="N336" s="208"/>
      <c r="O336" s="208"/>
      <c r="AB336" s="1"/>
      <c r="AC336" s="1"/>
      <c r="AD336" s="1"/>
      <c r="AE336" s="1"/>
      <c r="AF336" s="1"/>
      <c r="AG336" s="1"/>
      <c r="AH336" s="1"/>
      <c r="AI336" s="1"/>
      <c r="AJ336" s="1"/>
      <c r="AK336" s="1"/>
    </row>
    <row r="337" spans="1:37" ht="15.95" customHeight="1">
      <c r="A337" s="150"/>
      <c r="B337" s="150"/>
      <c r="C337" s="150"/>
      <c r="D337" s="150"/>
      <c r="E337" s="150"/>
      <c r="F337" s="150"/>
      <c r="G337" s="150"/>
      <c r="H337" s="150"/>
      <c r="I337" s="150"/>
      <c r="J337" s="150"/>
      <c r="K337" s="150"/>
      <c r="L337" s="150"/>
      <c r="M337" s="208"/>
      <c r="N337" s="208"/>
      <c r="O337" s="208"/>
      <c r="AB337" s="1"/>
      <c r="AC337" s="1"/>
      <c r="AD337" s="1"/>
      <c r="AE337" s="1"/>
      <c r="AF337" s="1"/>
      <c r="AG337" s="1"/>
      <c r="AH337" s="1"/>
      <c r="AI337" s="1"/>
      <c r="AJ337" s="1"/>
      <c r="AK337" s="1"/>
    </row>
    <row r="338" spans="1:37" s="80" customFormat="1" ht="15.95" customHeight="1">
      <c r="A338" s="150"/>
      <c r="B338" s="150"/>
      <c r="C338" s="150"/>
      <c r="D338" s="150"/>
      <c r="E338" s="150"/>
      <c r="F338" s="150"/>
      <c r="G338" s="150"/>
      <c r="H338" s="150"/>
      <c r="I338" s="150"/>
      <c r="J338" s="150"/>
      <c r="K338" s="150"/>
      <c r="L338" s="150"/>
      <c r="M338" s="208"/>
      <c r="N338" s="208"/>
      <c r="O338" s="208"/>
      <c r="P338"/>
      <c r="Q338"/>
      <c r="R338"/>
      <c r="AB338" s="1"/>
      <c r="AC338" s="1"/>
      <c r="AD338" s="1"/>
      <c r="AE338" s="1"/>
      <c r="AF338" s="1"/>
      <c r="AG338" s="1"/>
      <c r="AH338" s="1"/>
      <c r="AI338" s="1"/>
      <c r="AJ338" s="1"/>
      <c r="AK338" s="1"/>
    </row>
    <row r="339" spans="1:37" s="80" customFormat="1" ht="15.95" customHeight="1">
      <c r="A339" s="150"/>
      <c r="B339" s="150"/>
      <c r="C339" s="150"/>
      <c r="D339" s="150"/>
      <c r="E339" s="150"/>
      <c r="F339" s="150"/>
      <c r="G339" s="150"/>
      <c r="H339" s="150"/>
      <c r="I339" s="150"/>
      <c r="J339" s="150"/>
      <c r="K339" s="150"/>
      <c r="L339" s="150"/>
      <c r="M339" s="208"/>
      <c r="N339" s="208"/>
      <c r="O339" s="208"/>
      <c r="P339"/>
      <c r="Q339"/>
      <c r="R339"/>
      <c r="AB339" s="1"/>
      <c r="AC339" s="1"/>
      <c r="AD339" s="1"/>
      <c r="AE339" s="1"/>
      <c r="AF339" s="1"/>
      <c r="AG339" s="1"/>
      <c r="AH339" s="1"/>
      <c r="AI339" s="1"/>
      <c r="AJ339" s="1"/>
      <c r="AK339" s="1"/>
    </row>
    <row r="340" spans="1:37" s="80" customFormat="1" ht="15.95" customHeight="1">
      <c r="A340" s="150"/>
      <c r="B340" s="150"/>
      <c r="C340" s="150"/>
      <c r="D340" s="150"/>
      <c r="E340" s="150"/>
      <c r="F340" s="150"/>
      <c r="G340" s="150"/>
      <c r="H340" s="150"/>
      <c r="I340" s="150"/>
      <c r="J340" s="150"/>
      <c r="K340" s="150"/>
      <c r="L340" s="150"/>
      <c r="M340" s="208"/>
      <c r="N340" s="208"/>
      <c r="O340" s="208"/>
      <c r="P340"/>
      <c r="Q340"/>
      <c r="R340"/>
      <c r="AB340" s="1"/>
      <c r="AC340" s="1"/>
      <c r="AD340" s="1"/>
      <c r="AE340" s="1"/>
      <c r="AF340" s="1"/>
      <c r="AG340" s="1"/>
      <c r="AH340" s="1"/>
      <c r="AI340" s="1"/>
      <c r="AJ340" s="1"/>
      <c r="AK340" s="1"/>
    </row>
    <row r="341" spans="1:37" ht="15.95" customHeight="1">
      <c r="A341" s="150"/>
      <c r="B341" s="150"/>
      <c r="C341" s="150"/>
      <c r="D341" s="150"/>
      <c r="E341" s="150"/>
      <c r="F341" s="150"/>
      <c r="G341" s="150"/>
      <c r="H341" s="150"/>
      <c r="I341" s="150"/>
      <c r="J341" s="150"/>
      <c r="K341" s="150"/>
      <c r="L341" s="150"/>
      <c r="M341" s="208"/>
      <c r="N341" s="208"/>
      <c r="O341" s="208"/>
      <c r="AB341" s="1"/>
      <c r="AC341" s="1"/>
      <c r="AD341" s="1"/>
      <c r="AE341" s="1"/>
      <c r="AF341" s="1"/>
      <c r="AG341" s="1"/>
      <c r="AH341" s="1"/>
      <c r="AI341" s="1"/>
      <c r="AJ341" s="1"/>
      <c r="AK341" s="1"/>
    </row>
    <row r="342" spans="1:37" ht="15.95" customHeight="1">
      <c r="A342" s="150"/>
      <c r="B342" s="150"/>
      <c r="C342" s="150"/>
      <c r="D342" s="150"/>
      <c r="E342" s="150"/>
      <c r="F342" s="150"/>
      <c r="G342" s="150"/>
      <c r="H342" s="150"/>
      <c r="I342" s="150"/>
      <c r="J342" s="150"/>
      <c r="K342" s="150"/>
      <c r="L342" s="150"/>
      <c r="M342" s="208"/>
      <c r="N342" s="208"/>
      <c r="O342" s="208"/>
      <c r="AB342" s="1"/>
      <c r="AC342" s="1"/>
      <c r="AD342" s="1"/>
      <c r="AE342" s="1"/>
      <c r="AF342" s="1"/>
      <c r="AG342" s="1"/>
      <c r="AH342" s="1"/>
      <c r="AI342" s="1"/>
      <c r="AJ342" s="1"/>
      <c r="AK342" s="1"/>
    </row>
    <row r="343" spans="1:37" ht="15.95" customHeight="1">
      <c r="A343" s="150"/>
      <c r="B343" s="150"/>
      <c r="C343" s="150"/>
      <c r="D343" s="150"/>
      <c r="E343" s="150"/>
      <c r="F343" s="150"/>
      <c r="G343" s="150"/>
      <c r="H343" s="150"/>
      <c r="I343" s="150"/>
      <c r="J343" s="150"/>
      <c r="K343" s="150"/>
      <c r="L343" s="150"/>
      <c r="M343" s="208"/>
      <c r="N343" s="208"/>
      <c r="O343" s="208"/>
      <c r="AB343" s="1"/>
      <c r="AC343" s="1"/>
      <c r="AD343" s="1"/>
      <c r="AE343" s="1"/>
      <c r="AF343" s="1"/>
      <c r="AG343" s="1"/>
      <c r="AH343" s="1"/>
      <c r="AI343" s="1"/>
      <c r="AJ343" s="1"/>
      <c r="AK343" s="1"/>
    </row>
    <row r="344" spans="1:37" ht="15.95" customHeight="1">
      <c r="A344" s="150"/>
      <c r="B344" s="150"/>
      <c r="C344" s="150"/>
      <c r="D344" s="150"/>
      <c r="E344" s="150"/>
      <c r="F344" s="150"/>
      <c r="G344" s="150"/>
      <c r="H344" s="150"/>
      <c r="I344" s="150"/>
      <c r="J344" s="150"/>
      <c r="K344" s="150"/>
      <c r="L344" s="150"/>
      <c r="M344" s="208"/>
      <c r="N344" s="208"/>
      <c r="O344" s="208"/>
      <c r="AB344" s="1"/>
      <c r="AC344" s="1"/>
      <c r="AD344" s="1"/>
      <c r="AE344" s="1"/>
      <c r="AF344" s="1"/>
      <c r="AG344" s="1"/>
      <c r="AH344" s="1"/>
      <c r="AI344" s="1"/>
      <c r="AJ344" s="1"/>
      <c r="AK344" s="1"/>
    </row>
    <row r="345" spans="1:37" ht="15.95" customHeight="1">
      <c r="A345" s="150"/>
      <c r="B345" s="150"/>
      <c r="C345" s="150"/>
      <c r="D345" s="150"/>
      <c r="E345" s="150"/>
      <c r="F345" s="150"/>
      <c r="G345" s="150"/>
      <c r="H345" s="150"/>
      <c r="I345" s="150"/>
      <c r="J345" s="150"/>
      <c r="K345" s="150"/>
      <c r="L345" s="150"/>
      <c r="M345" s="208"/>
      <c r="N345" s="208"/>
      <c r="O345" s="208"/>
      <c r="AB345" s="1"/>
      <c r="AC345" s="1"/>
      <c r="AD345" s="1"/>
      <c r="AE345" s="1"/>
      <c r="AF345" s="1"/>
      <c r="AG345" s="1"/>
      <c r="AH345" s="1"/>
      <c r="AI345" s="1"/>
      <c r="AJ345" s="1"/>
      <c r="AK345" s="1"/>
    </row>
    <row r="346" spans="1:37" ht="15.95" customHeight="1">
      <c r="A346" s="150"/>
      <c r="B346" s="150"/>
      <c r="C346" s="150"/>
      <c r="D346" s="150"/>
      <c r="E346" s="150"/>
      <c r="F346" s="150"/>
      <c r="G346" s="150"/>
      <c r="H346" s="150"/>
      <c r="I346" s="150"/>
      <c r="J346" s="150"/>
      <c r="K346" s="150"/>
      <c r="L346" s="150"/>
      <c r="M346" s="208"/>
      <c r="N346" s="208"/>
      <c r="O346" s="208"/>
      <c r="AB346" s="1"/>
      <c r="AC346" s="1"/>
      <c r="AD346" s="1"/>
      <c r="AE346" s="1"/>
      <c r="AF346" s="1"/>
      <c r="AG346" s="1"/>
      <c r="AH346" s="1"/>
      <c r="AI346" s="1"/>
      <c r="AJ346" s="1"/>
      <c r="AK346" s="1"/>
    </row>
    <row r="347" spans="1:37" ht="15.95" customHeight="1">
      <c r="A347" s="150"/>
      <c r="B347" s="150"/>
      <c r="C347" s="150"/>
      <c r="D347" s="150"/>
      <c r="E347" s="150"/>
      <c r="F347" s="150"/>
      <c r="G347" s="150"/>
      <c r="H347" s="150"/>
      <c r="I347" s="150"/>
      <c r="J347" s="150"/>
      <c r="K347" s="150"/>
      <c r="L347" s="150"/>
      <c r="M347" s="208"/>
      <c r="N347" s="237"/>
      <c r="O347" s="150"/>
      <c r="AB347" s="1"/>
      <c r="AC347" s="1"/>
      <c r="AD347" s="1"/>
      <c r="AE347" s="1"/>
      <c r="AF347" s="1"/>
      <c r="AG347" s="1"/>
      <c r="AH347" s="1"/>
      <c r="AI347" s="1"/>
      <c r="AJ347" s="1"/>
      <c r="AK347" s="1"/>
    </row>
    <row r="348" spans="1:37" ht="15.95" customHeight="1">
      <c r="A348" s="150"/>
      <c r="B348" s="150"/>
      <c r="C348" s="150"/>
      <c r="D348" s="150"/>
      <c r="E348" s="150"/>
      <c r="F348" s="150"/>
      <c r="G348" s="150"/>
      <c r="H348" s="150"/>
      <c r="I348" s="150"/>
      <c r="J348" s="150"/>
      <c r="K348" s="150"/>
      <c r="L348" s="150"/>
      <c r="M348" s="208"/>
      <c r="N348" s="264"/>
      <c r="O348" s="264"/>
      <c r="AB348" s="1"/>
      <c r="AC348" s="1"/>
      <c r="AD348" s="1"/>
      <c r="AE348" s="1"/>
      <c r="AF348" s="1"/>
      <c r="AG348" s="1"/>
      <c r="AH348" s="1"/>
      <c r="AI348" s="1"/>
      <c r="AJ348" s="1"/>
      <c r="AK348" s="1"/>
    </row>
    <row r="349" spans="1:37" ht="15.95" customHeight="1">
      <c r="A349" s="150"/>
      <c r="B349" s="150"/>
      <c r="C349" s="150"/>
      <c r="D349" s="150"/>
      <c r="E349" s="150"/>
      <c r="F349" s="150"/>
      <c r="G349" s="150"/>
      <c r="H349" s="150"/>
      <c r="I349" s="150"/>
      <c r="J349" s="150"/>
      <c r="K349" s="150"/>
      <c r="L349" s="150"/>
      <c r="M349" s="208"/>
      <c r="N349" s="264"/>
      <c r="O349" s="264"/>
      <c r="AB349" s="1"/>
      <c r="AC349" s="1"/>
      <c r="AD349" s="1"/>
      <c r="AE349" s="1"/>
      <c r="AF349" s="1"/>
      <c r="AG349" s="1"/>
      <c r="AH349" s="1"/>
      <c r="AI349" s="1"/>
      <c r="AJ349" s="1"/>
      <c r="AK349" s="1"/>
    </row>
    <row r="350" spans="1:37" ht="15.95" customHeight="1">
      <c r="A350" s="150"/>
      <c r="B350" s="150"/>
      <c r="C350" s="150"/>
      <c r="D350" s="150"/>
      <c r="E350" s="150"/>
      <c r="F350" s="150"/>
      <c r="G350" s="150"/>
      <c r="H350" s="150"/>
      <c r="I350" s="150"/>
      <c r="J350" s="150"/>
      <c r="K350" s="150"/>
      <c r="L350" s="150"/>
      <c r="M350" s="208"/>
      <c r="N350" s="208"/>
      <c r="O350" s="208"/>
      <c r="AB350" s="1"/>
      <c r="AC350" s="1"/>
      <c r="AD350" s="1"/>
      <c r="AE350" s="1"/>
      <c r="AF350" s="1"/>
      <c r="AG350" s="1"/>
      <c r="AH350" s="1"/>
      <c r="AI350" s="1"/>
      <c r="AJ350" s="1"/>
      <c r="AK350" s="1"/>
    </row>
    <row r="351" spans="1:37" ht="15.95" customHeight="1">
      <c r="A351" s="150"/>
      <c r="B351" s="150"/>
      <c r="C351" s="150"/>
      <c r="D351" s="150"/>
      <c r="E351" s="150"/>
      <c r="F351" s="150"/>
      <c r="G351" s="150"/>
      <c r="H351" s="150"/>
      <c r="I351" s="150"/>
      <c r="J351" s="150"/>
      <c r="K351" s="150"/>
      <c r="L351" s="150"/>
      <c r="M351" s="208"/>
      <c r="N351" s="208"/>
      <c r="O351" s="208"/>
      <c r="AB351" s="1"/>
      <c r="AC351" s="1"/>
      <c r="AD351" s="1"/>
      <c r="AE351" s="1"/>
      <c r="AF351" s="1"/>
      <c r="AG351" s="1"/>
      <c r="AH351" s="1"/>
      <c r="AI351" s="1"/>
      <c r="AJ351" s="1"/>
      <c r="AK351" s="1"/>
    </row>
    <row r="352" spans="1:37" ht="15.95" customHeight="1">
      <c r="A352" s="150"/>
      <c r="B352" s="150"/>
      <c r="C352" s="150"/>
      <c r="D352" s="150"/>
      <c r="E352" s="150"/>
      <c r="F352" s="150"/>
      <c r="G352" s="150"/>
      <c r="H352" s="150"/>
      <c r="I352" s="150"/>
      <c r="J352" s="150"/>
      <c r="K352" s="150"/>
      <c r="L352" s="150"/>
      <c r="M352" s="208"/>
      <c r="N352" s="208"/>
      <c r="O352" s="208"/>
      <c r="AB352" s="1"/>
      <c r="AC352" s="1"/>
      <c r="AD352" s="1"/>
      <c r="AE352" s="1"/>
      <c r="AF352" s="1"/>
      <c r="AG352" s="1"/>
      <c r="AH352" s="1"/>
      <c r="AI352" s="1"/>
      <c r="AJ352" s="1"/>
      <c r="AK352" s="1"/>
    </row>
    <row r="353" spans="1:37" ht="15.95" customHeight="1">
      <c r="A353" s="150"/>
      <c r="B353" s="150"/>
      <c r="C353" s="150"/>
      <c r="D353" s="150"/>
      <c r="E353" s="150"/>
      <c r="F353" s="150"/>
      <c r="G353" s="150"/>
      <c r="H353" s="150"/>
      <c r="I353" s="150"/>
      <c r="J353" s="150"/>
      <c r="K353" s="150"/>
      <c r="L353" s="150"/>
      <c r="M353" s="208"/>
      <c r="N353" s="208"/>
      <c r="O353" s="208"/>
      <c r="AB353" s="1"/>
      <c r="AC353" s="1"/>
      <c r="AD353" s="1"/>
      <c r="AE353" s="1"/>
      <c r="AF353" s="1"/>
      <c r="AG353" s="1"/>
      <c r="AH353" s="1"/>
      <c r="AI353" s="1"/>
      <c r="AJ353" s="1"/>
      <c r="AK353" s="1"/>
    </row>
    <row r="354" spans="1:37" ht="15.95" customHeight="1">
      <c r="A354" s="150"/>
      <c r="B354" s="150"/>
      <c r="C354" s="150"/>
      <c r="D354" s="150"/>
      <c r="E354" s="150"/>
      <c r="F354" s="150"/>
      <c r="G354" s="150"/>
      <c r="H354" s="150"/>
      <c r="I354" s="150"/>
      <c r="J354" s="150"/>
      <c r="K354" s="150"/>
      <c r="L354" s="150"/>
      <c r="M354" s="208"/>
      <c r="N354" s="208"/>
      <c r="O354" s="208"/>
      <c r="AB354" s="1"/>
      <c r="AC354" s="1"/>
      <c r="AD354" s="1"/>
      <c r="AE354" s="1"/>
      <c r="AF354" s="1"/>
      <c r="AG354" s="1"/>
      <c r="AH354" s="1"/>
      <c r="AI354" s="1"/>
      <c r="AJ354" s="1"/>
      <c r="AK354" s="1"/>
    </row>
    <row r="355" spans="1:37" ht="15.95" customHeight="1">
      <c r="A355" s="150"/>
      <c r="B355" s="150"/>
      <c r="C355" s="150"/>
      <c r="D355" s="150"/>
      <c r="E355" s="150"/>
      <c r="F355" s="150"/>
      <c r="G355" s="150"/>
      <c r="H355" s="150"/>
      <c r="I355" s="150"/>
      <c r="J355" s="150"/>
      <c r="K355" s="150"/>
      <c r="L355" s="150"/>
      <c r="M355" s="208"/>
      <c r="N355" s="208"/>
      <c r="O355" s="208"/>
      <c r="AB355" s="1"/>
      <c r="AC355" s="1"/>
      <c r="AD355" s="1"/>
      <c r="AE355" s="1"/>
      <c r="AF355" s="1"/>
      <c r="AG355" s="1"/>
      <c r="AH355" s="1"/>
      <c r="AI355" s="1"/>
      <c r="AJ355" s="1"/>
      <c r="AK355" s="1"/>
    </row>
    <row r="356" spans="1:37" ht="15.95" customHeight="1">
      <c r="A356" s="150"/>
      <c r="B356" s="150"/>
      <c r="C356" s="150"/>
      <c r="D356" s="150"/>
      <c r="E356" s="150"/>
      <c r="F356" s="150"/>
      <c r="G356" s="150"/>
      <c r="H356" s="150"/>
      <c r="I356" s="150"/>
      <c r="J356" s="150"/>
      <c r="K356" s="150"/>
      <c r="L356" s="150"/>
      <c r="M356" s="208"/>
      <c r="N356" s="208"/>
      <c r="O356" s="208"/>
      <c r="AB356" s="1"/>
      <c r="AC356" s="1"/>
      <c r="AD356" s="1"/>
      <c r="AE356" s="1"/>
      <c r="AF356" s="1"/>
      <c r="AG356" s="1"/>
      <c r="AH356" s="1"/>
      <c r="AI356" s="1"/>
      <c r="AJ356" s="1"/>
      <c r="AK356" s="1"/>
    </row>
    <row r="357" spans="1:37" ht="15.95" customHeight="1">
      <c r="A357" s="150"/>
      <c r="B357" s="150"/>
      <c r="C357" s="150"/>
      <c r="D357" s="150"/>
      <c r="E357" s="150"/>
      <c r="F357" s="150"/>
      <c r="G357" s="150"/>
      <c r="H357" s="150"/>
      <c r="I357" s="150"/>
      <c r="J357" s="150"/>
      <c r="K357" s="150"/>
      <c r="L357" s="150"/>
      <c r="M357" s="208"/>
      <c r="N357" s="264"/>
      <c r="O357" s="264"/>
      <c r="P357" s="65"/>
      <c r="Q357" s="65"/>
      <c r="R357" s="65"/>
      <c r="S357" s="65"/>
      <c r="T357" s="65"/>
      <c r="U357" s="65"/>
      <c r="V357" s="65"/>
      <c r="W357" s="65"/>
      <c r="X357" s="65"/>
      <c r="Y357" s="65"/>
      <c r="Z357" s="65"/>
      <c r="AC357" s="62"/>
      <c r="AD357" s="60"/>
      <c r="AE357" s="60"/>
      <c r="AF357" s="75"/>
      <c r="AG357" s="1"/>
      <c r="AH357" s="1"/>
      <c r="AI357" s="1"/>
      <c r="AJ357" s="1"/>
      <c r="AK357" s="1"/>
    </row>
    <row r="358" spans="1:37" ht="15.95" customHeight="1">
      <c r="A358" s="150"/>
      <c r="B358" s="150"/>
      <c r="C358" s="150"/>
      <c r="D358" s="150"/>
      <c r="E358" s="150"/>
      <c r="F358" s="150"/>
      <c r="G358" s="150"/>
      <c r="H358" s="150"/>
      <c r="I358" s="150"/>
      <c r="J358" s="150"/>
      <c r="K358" s="150"/>
      <c r="L358" s="150"/>
      <c r="M358" s="208"/>
      <c r="N358" s="264"/>
      <c r="O358" s="264"/>
      <c r="P358" s="65"/>
      <c r="Q358" s="65"/>
      <c r="R358" s="65"/>
      <c r="S358" s="65"/>
      <c r="T358" s="65"/>
      <c r="U358" s="65"/>
      <c r="V358" s="65"/>
      <c r="W358" s="65"/>
      <c r="X358" s="65"/>
      <c r="Y358" s="65"/>
      <c r="Z358" s="65"/>
      <c r="AC358" s="62"/>
      <c r="AD358" s="60"/>
      <c r="AE358" s="60"/>
      <c r="AF358" s="75"/>
      <c r="AG358" s="1"/>
      <c r="AH358" s="1"/>
      <c r="AI358" s="1"/>
      <c r="AJ358" s="1"/>
      <c r="AK358" s="1"/>
    </row>
    <row r="359" spans="1:37" ht="15.95" customHeight="1">
      <c r="A359" s="150"/>
      <c r="B359" s="150"/>
      <c r="C359" s="150"/>
      <c r="D359" s="150"/>
      <c r="E359" s="150"/>
      <c r="F359" s="150"/>
      <c r="G359" s="150"/>
      <c r="H359" s="150"/>
      <c r="I359" s="150"/>
      <c r="J359" s="150"/>
      <c r="K359" s="150"/>
      <c r="L359" s="150"/>
      <c r="M359" s="208"/>
      <c r="N359" s="264"/>
      <c r="O359" s="264"/>
      <c r="P359" s="65"/>
      <c r="Q359" s="65"/>
      <c r="R359" s="65"/>
      <c r="S359" s="65"/>
      <c r="T359" s="65"/>
      <c r="U359" s="65"/>
      <c r="V359" s="65"/>
      <c r="W359" s="65"/>
      <c r="X359" s="65"/>
      <c r="Y359" s="65"/>
      <c r="Z359" s="65"/>
      <c r="AB359" s="1"/>
      <c r="AC359" s="1"/>
      <c r="AD359" s="1"/>
      <c r="AE359" s="1"/>
      <c r="AF359" s="1"/>
      <c r="AG359" s="1"/>
      <c r="AH359" s="1"/>
      <c r="AI359" s="1"/>
      <c r="AJ359" s="1"/>
      <c r="AK359" s="1"/>
    </row>
    <row r="360" spans="1:37" ht="15.95" customHeight="1">
      <c r="A360" s="150"/>
      <c r="B360" s="150"/>
      <c r="C360" s="150"/>
      <c r="D360" s="150"/>
      <c r="E360" s="150"/>
      <c r="F360" s="150"/>
      <c r="G360" s="150"/>
      <c r="H360" s="151"/>
      <c r="I360" s="150"/>
      <c r="J360" s="150"/>
      <c r="K360" s="150"/>
      <c r="L360" s="150"/>
      <c r="M360" s="208"/>
      <c r="N360" s="264"/>
      <c r="O360" s="264"/>
      <c r="P360" s="65"/>
      <c r="Q360" s="65"/>
      <c r="R360" s="65"/>
      <c r="S360" s="65"/>
      <c r="T360" s="65"/>
      <c r="U360" s="65"/>
      <c r="V360" s="65"/>
      <c r="W360" s="65"/>
      <c r="X360" s="65"/>
      <c r="Y360" s="65"/>
      <c r="Z360" s="65"/>
      <c r="AA360" s="60"/>
      <c r="AB360" s="62"/>
      <c r="AC360" s="1"/>
      <c r="AD360" s="1"/>
      <c r="AE360" s="1"/>
      <c r="AF360" s="1"/>
      <c r="AG360" s="1"/>
      <c r="AH360" s="1"/>
      <c r="AI360" s="1"/>
      <c r="AJ360" s="1"/>
      <c r="AK360" s="1"/>
    </row>
    <row r="361" spans="1:37" ht="15.95" customHeight="1">
      <c r="A361" s="150"/>
      <c r="B361" s="150"/>
      <c r="C361" s="150"/>
      <c r="D361" s="150"/>
      <c r="E361" s="150"/>
      <c r="F361" s="150"/>
      <c r="G361" s="150"/>
      <c r="H361" s="151"/>
      <c r="I361" s="150"/>
      <c r="J361" s="150"/>
      <c r="K361" s="150"/>
      <c r="L361" s="150"/>
      <c r="M361" s="208"/>
      <c r="N361" s="264"/>
      <c r="O361" s="264"/>
      <c r="P361" s="65"/>
      <c r="Q361" s="65"/>
      <c r="R361" s="65"/>
      <c r="S361" s="65"/>
      <c r="T361" s="65"/>
      <c r="U361" s="65"/>
      <c r="V361" s="65"/>
      <c r="W361" s="65"/>
      <c r="X361" s="65"/>
      <c r="Y361" s="65"/>
      <c r="Z361" s="65"/>
      <c r="AA361" s="60"/>
      <c r="AB361" s="62"/>
      <c r="AC361" s="1"/>
      <c r="AD361" s="1"/>
      <c r="AE361" s="1"/>
      <c r="AF361" s="1"/>
      <c r="AG361" s="1"/>
      <c r="AH361" s="1"/>
      <c r="AI361" s="1"/>
      <c r="AJ361" s="1"/>
      <c r="AK361" s="1"/>
    </row>
    <row r="362" spans="1:37" ht="15.95" customHeight="1">
      <c r="A362" s="150"/>
      <c r="B362" s="150"/>
      <c r="C362" s="150"/>
      <c r="D362" s="150"/>
      <c r="E362" s="150"/>
      <c r="F362" s="150"/>
      <c r="G362" s="150"/>
      <c r="H362" s="151"/>
      <c r="I362" s="150"/>
      <c r="J362" s="150"/>
      <c r="K362" s="150"/>
      <c r="L362" s="150"/>
      <c r="M362" s="208"/>
      <c r="N362" s="237"/>
      <c r="O362" s="150"/>
      <c r="Q362" s="60"/>
      <c r="R362" s="60"/>
      <c r="S362" s="60"/>
      <c r="T362" s="60"/>
      <c r="U362" s="60"/>
      <c r="V362" s="60"/>
      <c r="W362" s="60"/>
      <c r="X362" s="60"/>
      <c r="Y362" s="60"/>
      <c r="Z362" s="60"/>
      <c r="AA362" s="60"/>
      <c r="AB362" s="62"/>
      <c r="AC362" s="1"/>
      <c r="AD362" s="1"/>
      <c r="AE362" s="1"/>
      <c r="AF362" s="1"/>
      <c r="AG362" s="1"/>
      <c r="AH362" s="1"/>
      <c r="AI362" s="1"/>
      <c r="AJ362" s="1"/>
      <c r="AK362" s="1"/>
    </row>
    <row r="363" spans="1:37" ht="15.95" customHeight="1">
      <c r="A363" s="150"/>
      <c r="B363" s="150"/>
      <c r="C363" s="150"/>
      <c r="D363" s="150"/>
      <c r="E363" s="150"/>
      <c r="F363" s="150"/>
      <c r="G363" s="150"/>
      <c r="H363" s="151"/>
      <c r="I363" s="150"/>
      <c r="J363" s="150"/>
      <c r="K363" s="150"/>
      <c r="L363" s="150"/>
      <c r="M363" s="208"/>
      <c r="N363" s="237"/>
      <c r="O363" s="150"/>
      <c r="Q363" s="60"/>
      <c r="R363" s="60"/>
      <c r="S363" s="60"/>
      <c r="T363" s="60"/>
      <c r="U363" s="60"/>
      <c r="V363" s="60"/>
      <c r="W363" s="60"/>
      <c r="X363" s="60"/>
      <c r="Y363" s="60"/>
      <c r="Z363" s="60"/>
      <c r="AA363" s="60"/>
      <c r="AB363" s="62"/>
      <c r="AC363" s="1"/>
      <c r="AD363" s="1"/>
      <c r="AE363" s="1"/>
      <c r="AF363" s="1"/>
      <c r="AG363" s="1"/>
      <c r="AH363" s="1"/>
      <c r="AI363" s="1"/>
      <c r="AJ363" s="1"/>
      <c r="AK363" s="1"/>
    </row>
    <row r="364" spans="1:37" ht="15.95" customHeight="1">
      <c r="A364" s="150"/>
      <c r="B364" s="150"/>
      <c r="C364" s="150"/>
      <c r="D364" s="150"/>
      <c r="E364" s="150"/>
      <c r="F364" s="150"/>
      <c r="G364" s="150"/>
      <c r="H364" s="151"/>
      <c r="I364" s="150"/>
      <c r="J364" s="150"/>
      <c r="K364" s="150"/>
      <c r="L364" s="150"/>
      <c r="M364" s="208"/>
      <c r="N364" s="265"/>
      <c r="O364" s="150"/>
      <c r="Q364" s="60"/>
      <c r="R364" s="60"/>
      <c r="S364" s="60"/>
      <c r="T364" s="60"/>
      <c r="U364" s="60"/>
      <c r="V364" s="60"/>
      <c r="W364" s="60"/>
      <c r="X364" s="60"/>
      <c r="Y364" s="60"/>
      <c r="Z364" s="60"/>
      <c r="AA364" s="60"/>
      <c r="AB364" s="62"/>
      <c r="AC364" s="1"/>
      <c r="AD364" s="1"/>
      <c r="AE364" s="1"/>
      <c r="AF364" s="1"/>
      <c r="AG364" s="1"/>
      <c r="AH364" s="1"/>
      <c r="AI364" s="1"/>
      <c r="AJ364" s="1"/>
      <c r="AK364" s="1"/>
    </row>
    <row r="365" spans="1:37" ht="15.95" customHeight="1">
      <c r="A365" s="150"/>
      <c r="B365" s="150"/>
      <c r="C365" s="150"/>
      <c r="D365" s="150"/>
      <c r="E365" s="150"/>
      <c r="F365" s="150"/>
      <c r="G365" s="150"/>
      <c r="H365" s="151"/>
      <c r="I365" s="150"/>
      <c r="J365" s="150"/>
      <c r="K365" s="150"/>
      <c r="L365" s="150"/>
      <c r="M365" s="208"/>
      <c r="N365" s="237"/>
      <c r="O365" s="150"/>
      <c r="Q365" s="60"/>
      <c r="R365" s="60"/>
      <c r="S365" s="60"/>
      <c r="T365" s="60"/>
      <c r="U365" s="60"/>
      <c r="V365" s="60"/>
      <c r="W365" s="60"/>
      <c r="X365" s="60"/>
      <c r="Y365" s="60"/>
      <c r="Z365" s="60"/>
      <c r="AA365" s="60"/>
      <c r="AB365" s="62"/>
      <c r="AC365" s="1"/>
      <c r="AD365" s="1"/>
      <c r="AE365" s="1"/>
      <c r="AF365" s="1"/>
      <c r="AG365" s="1"/>
      <c r="AH365" s="1"/>
      <c r="AI365" s="1"/>
      <c r="AJ365" s="1"/>
      <c r="AK365" s="1"/>
    </row>
    <row r="366" spans="1:37" ht="15.95" customHeight="1">
      <c r="A366" s="150"/>
      <c r="B366" s="150"/>
      <c r="C366" s="150"/>
      <c r="D366" s="150"/>
      <c r="E366" s="150"/>
      <c r="F366" s="150"/>
      <c r="G366" s="150"/>
      <c r="H366" s="151"/>
      <c r="I366" s="150"/>
      <c r="J366" s="150"/>
      <c r="K366" s="150"/>
      <c r="L366" s="150"/>
      <c r="M366" s="208"/>
      <c r="N366" s="237"/>
      <c r="O366" s="150"/>
      <c r="Q366" s="60"/>
      <c r="R366" s="60"/>
      <c r="S366" s="60"/>
      <c r="T366" s="60"/>
      <c r="U366" s="60"/>
      <c r="V366" s="60"/>
      <c r="W366" s="60"/>
      <c r="X366" s="60"/>
      <c r="Y366" s="60"/>
      <c r="Z366" s="60"/>
      <c r="AA366" s="60"/>
      <c r="AB366" s="62"/>
      <c r="AC366" s="1"/>
      <c r="AD366" s="1"/>
      <c r="AE366" s="1"/>
      <c r="AF366" s="1"/>
      <c r="AG366" s="1"/>
      <c r="AH366" s="1"/>
      <c r="AI366" s="1"/>
      <c r="AJ366" s="1"/>
      <c r="AK366" s="1"/>
    </row>
    <row r="367" spans="1:37" ht="15.95" customHeight="1">
      <c r="A367" s="150"/>
      <c r="B367" s="150"/>
      <c r="C367" s="150"/>
      <c r="D367" s="150"/>
      <c r="E367" s="150"/>
      <c r="F367" s="150"/>
      <c r="G367" s="150"/>
      <c r="H367" s="151"/>
      <c r="I367" s="150"/>
      <c r="J367" s="150"/>
      <c r="K367" s="150"/>
      <c r="L367" s="150"/>
      <c r="M367" s="208"/>
      <c r="N367" s="237"/>
      <c r="O367" s="150"/>
      <c r="Q367" s="60"/>
      <c r="R367" s="60"/>
      <c r="S367" s="60"/>
      <c r="T367" s="60"/>
      <c r="U367" s="60"/>
      <c r="V367" s="60"/>
      <c r="W367" s="60"/>
      <c r="X367" s="60"/>
      <c r="Y367" s="60"/>
      <c r="Z367" s="60"/>
      <c r="AA367" s="60"/>
      <c r="AB367" s="62"/>
      <c r="AC367" s="1"/>
      <c r="AD367" s="1"/>
      <c r="AE367" s="1"/>
      <c r="AF367" s="1"/>
      <c r="AG367" s="1"/>
      <c r="AH367" s="1"/>
      <c r="AI367" s="1"/>
      <c r="AJ367" s="1"/>
      <c r="AK367" s="1"/>
    </row>
    <row r="368" spans="1:37" ht="15.95" customHeight="1">
      <c r="A368" s="150"/>
      <c r="B368" s="150"/>
      <c r="C368" s="150"/>
      <c r="D368" s="150"/>
      <c r="E368" s="150"/>
      <c r="F368" s="150"/>
      <c r="G368" s="150"/>
      <c r="H368" s="151"/>
      <c r="I368" s="150"/>
      <c r="J368" s="150"/>
      <c r="K368" s="150"/>
      <c r="L368" s="150"/>
      <c r="M368" s="208"/>
      <c r="N368" s="237"/>
      <c r="O368" s="150"/>
      <c r="Q368" s="60"/>
      <c r="R368" s="60"/>
      <c r="S368" s="60"/>
      <c r="T368" s="60"/>
      <c r="U368" s="60"/>
      <c r="V368" s="60"/>
      <c r="W368" s="60"/>
      <c r="X368" s="60"/>
      <c r="Y368" s="60"/>
      <c r="Z368" s="60"/>
      <c r="AA368" s="60"/>
      <c r="AB368" s="62"/>
      <c r="AC368" s="1"/>
      <c r="AD368" s="1"/>
      <c r="AE368" s="1"/>
      <c r="AF368" s="1"/>
      <c r="AG368" s="1"/>
      <c r="AH368" s="1"/>
      <c r="AI368" s="1"/>
      <c r="AJ368" s="1"/>
      <c r="AK368" s="1"/>
    </row>
    <row r="369" spans="1:37" ht="15.95" customHeight="1">
      <c r="A369" s="150"/>
      <c r="B369" s="150"/>
      <c r="C369" s="150"/>
      <c r="D369" s="150"/>
      <c r="E369" s="150"/>
      <c r="F369" s="150"/>
      <c r="G369" s="150"/>
      <c r="H369" s="151"/>
      <c r="I369" s="150"/>
      <c r="J369" s="150"/>
      <c r="K369" s="150"/>
      <c r="L369" s="150"/>
      <c r="M369" s="208"/>
      <c r="N369" s="237"/>
      <c r="O369" s="150"/>
      <c r="AB369" s="1"/>
      <c r="AC369" s="1"/>
      <c r="AD369" s="1"/>
      <c r="AE369" s="1"/>
      <c r="AF369" s="1"/>
      <c r="AG369" s="1"/>
      <c r="AH369" s="1"/>
      <c r="AI369" s="1"/>
      <c r="AJ369" s="1"/>
      <c r="AK369" s="1"/>
    </row>
    <row r="370" spans="1:37" ht="15.95" customHeight="1">
      <c r="A370" s="150"/>
      <c r="B370" s="150"/>
      <c r="C370" s="150"/>
      <c r="D370" s="150"/>
      <c r="E370" s="150"/>
      <c r="F370" s="150"/>
      <c r="G370" s="150"/>
      <c r="H370" s="151"/>
      <c r="I370" s="150"/>
      <c r="J370" s="150"/>
      <c r="K370" s="150"/>
      <c r="L370" s="150"/>
      <c r="M370" s="208"/>
      <c r="N370" s="237"/>
      <c r="O370" s="150"/>
      <c r="AB370" s="1"/>
      <c r="AC370" s="1"/>
      <c r="AD370" s="1"/>
      <c r="AE370" s="1"/>
      <c r="AF370" s="1"/>
      <c r="AG370" s="1"/>
      <c r="AH370" s="1"/>
      <c r="AI370" s="1"/>
      <c r="AJ370" s="1"/>
      <c r="AK370" s="1"/>
    </row>
    <row r="371" spans="1:37" ht="15.95" customHeight="1">
      <c r="A371" s="150"/>
      <c r="B371" s="150"/>
      <c r="C371" s="150"/>
      <c r="D371" s="150"/>
      <c r="E371" s="150"/>
      <c r="F371" s="150"/>
      <c r="G371" s="150"/>
      <c r="H371" s="151"/>
      <c r="I371" s="150"/>
      <c r="J371" s="150"/>
      <c r="K371" s="150"/>
      <c r="L371" s="150"/>
      <c r="M371" s="208"/>
      <c r="N371" s="266"/>
      <c r="O371" s="150"/>
      <c r="AB371" s="1"/>
      <c r="AC371" s="1"/>
      <c r="AD371" s="1"/>
      <c r="AE371" s="1"/>
      <c r="AF371" s="1"/>
      <c r="AG371" s="1"/>
      <c r="AH371" s="1"/>
      <c r="AI371" s="1"/>
      <c r="AJ371" s="1"/>
      <c r="AK371" s="1"/>
    </row>
    <row r="372" spans="1:37" ht="15.95" customHeight="1">
      <c r="A372" s="150"/>
      <c r="B372" s="150"/>
      <c r="C372" s="150"/>
      <c r="D372" s="150"/>
      <c r="E372" s="150"/>
      <c r="F372" s="150"/>
      <c r="G372" s="150"/>
      <c r="H372" s="151"/>
      <c r="I372" s="150"/>
      <c r="J372" s="150"/>
      <c r="K372" s="150"/>
      <c r="L372" s="150"/>
      <c r="M372" s="208"/>
      <c r="N372" s="266"/>
      <c r="O372" s="150"/>
      <c r="AB372" s="1"/>
      <c r="AC372" s="1"/>
      <c r="AD372" s="1"/>
      <c r="AE372" s="1"/>
      <c r="AF372" s="1"/>
      <c r="AG372" s="1"/>
      <c r="AH372" s="1"/>
      <c r="AI372" s="1"/>
      <c r="AJ372" s="1"/>
      <c r="AK372" s="1"/>
    </row>
    <row r="373" spans="1:37" ht="15.95" customHeight="1">
      <c r="A373" s="150"/>
      <c r="B373" s="150"/>
      <c r="C373" s="150"/>
      <c r="D373" s="150"/>
      <c r="E373" s="150"/>
      <c r="F373" s="150"/>
      <c r="G373" s="150"/>
      <c r="H373" s="151"/>
      <c r="I373" s="150"/>
      <c r="J373" s="150"/>
      <c r="K373" s="150"/>
      <c r="L373" s="150"/>
      <c r="M373" s="208"/>
      <c r="N373" s="152"/>
      <c r="O373" s="150"/>
      <c r="AB373" s="1"/>
      <c r="AC373" s="1"/>
      <c r="AD373" s="1"/>
      <c r="AE373" s="1"/>
      <c r="AF373" s="1"/>
      <c r="AG373" s="1"/>
      <c r="AH373" s="1"/>
      <c r="AI373" s="1"/>
      <c r="AJ373" s="1"/>
      <c r="AK373" s="1"/>
    </row>
    <row r="374" spans="1:37" ht="15.95" customHeight="1">
      <c r="A374" s="150"/>
      <c r="B374" s="150"/>
      <c r="C374" s="150"/>
      <c r="D374" s="150"/>
      <c r="E374" s="150"/>
      <c r="F374" s="150"/>
      <c r="G374" s="150"/>
      <c r="H374" s="151"/>
      <c r="I374" s="150"/>
      <c r="J374" s="150"/>
      <c r="K374" s="150"/>
      <c r="L374" s="150"/>
      <c r="M374" s="208"/>
      <c r="N374" s="152"/>
      <c r="O374" s="150"/>
      <c r="AB374" s="1"/>
      <c r="AC374" s="1"/>
      <c r="AD374" s="1"/>
      <c r="AE374" s="1"/>
      <c r="AF374" s="1"/>
      <c r="AG374" s="1"/>
      <c r="AH374" s="1"/>
      <c r="AI374" s="1"/>
      <c r="AJ374" s="1"/>
      <c r="AK374" s="1"/>
    </row>
    <row r="375" spans="1:37" ht="15.95" customHeight="1">
      <c r="A375" s="150"/>
      <c r="B375" s="150"/>
      <c r="C375" s="150"/>
      <c r="D375" s="150"/>
      <c r="E375" s="150"/>
      <c r="F375" s="150"/>
      <c r="G375" s="150"/>
      <c r="H375" s="151"/>
      <c r="I375" s="150"/>
      <c r="J375" s="150"/>
      <c r="K375" s="150"/>
      <c r="L375" s="150"/>
      <c r="M375" s="208"/>
      <c r="N375" s="152"/>
      <c r="O375" s="150"/>
      <c r="AB375" s="1"/>
      <c r="AC375" s="1"/>
      <c r="AD375" s="1"/>
      <c r="AE375" s="1"/>
      <c r="AF375" s="1"/>
      <c r="AG375" s="1"/>
      <c r="AH375" s="1"/>
      <c r="AI375" s="1"/>
      <c r="AJ375" s="1"/>
      <c r="AK375" s="1"/>
    </row>
    <row r="376" spans="1:37" ht="15.95" customHeight="1">
      <c r="A376" s="150"/>
      <c r="B376" s="150"/>
      <c r="C376" s="150"/>
      <c r="D376" s="150"/>
      <c r="E376" s="150"/>
      <c r="F376" s="150"/>
      <c r="G376" s="150"/>
      <c r="H376" s="151"/>
      <c r="I376" s="150"/>
      <c r="J376" s="150"/>
      <c r="K376" s="150"/>
      <c r="L376" s="150"/>
      <c r="M376" s="208"/>
      <c r="N376" s="152"/>
      <c r="O376" s="150"/>
      <c r="AB376" s="1"/>
      <c r="AC376" s="1"/>
      <c r="AD376" s="1"/>
      <c r="AE376" s="1"/>
      <c r="AF376" s="1"/>
      <c r="AG376" s="1"/>
      <c r="AH376" s="1"/>
      <c r="AI376" s="1"/>
      <c r="AJ376" s="1"/>
      <c r="AK376" s="1"/>
    </row>
    <row r="377" spans="1:37" ht="15.95" customHeight="1">
      <c r="A377" s="150"/>
      <c r="B377" s="150"/>
      <c r="C377" s="150"/>
      <c r="D377" s="150"/>
      <c r="E377" s="150"/>
      <c r="F377" s="150"/>
      <c r="G377" s="150"/>
      <c r="H377" s="151"/>
      <c r="I377" s="150"/>
      <c r="J377" s="150"/>
      <c r="K377" s="150"/>
      <c r="L377" s="150"/>
      <c r="M377" s="208"/>
      <c r="N377" s="152"/>
      <c r="O377" s="150"/>
      <c r="AB377" s="1"/>
      <c r="AC377" s="1"/>
      <c r="AD377" s="1"/>
      <c r="AE377" s="1"/>
      <c r="AF377" s="1"/>
      <c r="AG377" s="1"/>
      <c r="AH377" s="1"/>
      <c r="AI377" s="1"/>
      <c r="AJ377" s="1"/>
      <c r="AK377" s="1"/>
    </row>
    <row r="378" spans="1:37" ht="15.95" customHeight="1">
      <c r="A378" s="150"/>
      <c r="B378" s="150"/>
      <c r="C378" s="150"/>
      <c r="D378" s="150"/>
      <c r="E378" s="150"/>
      <c r="F378" s="150"/>
      <c r="G378" s="150"/>
      <c r="H378" s="151"/>
      <c r="I378" s="150"/>
      <c r="J378" s="150"/>
      <c r="K378" s="150"/>
      <c r="L378" s="150"/>
      <c r="M378" s="208"/>
      <c r="N378" s="152"/>
      <c r="O378" s="150"/>
      <c r="AB378" s="1"/>
      <c r="AC378" s="1"/>
      <c r="AD378" s="1"/>
      <c r="AE378" s="1"/>
      <c r="AF378" s="1"/>
      <c r="AG378" s="1"/>
      <c r="AH378" s="1"/>
      <c r="AI378" s="1"/>
      <c r="AJ378" s="1"/>
      <c r="AK378" s="1"/>
    </row>
    <row r="379" spans="1:37" ht="15.95" customHeight="1">
      <c r="A379" s="208"/>
      <c r="B379" s="208"/>
      <c r="C379" s="208"/>
      <c r="D379" s="208"/>
      <c r="E379" s="208"/>
      <c r="F379" s="208"/>
      <c r="G379" s="208"/>
      <c r="H379" s="210"/>
      <c r="I379" s="208"/>
      <c r="J379" s="208"/>
      <c r="K379" s="208"/>
      <c r="L379" s="208"/>
      <c r="M379" s="208"/>
      <c r="N379" s="152"/>
      <c r="O379" s="150"/>
      <c r="AB379" s="1"/>
      <c r="AC379" s="1"/>
      <c r="AD379" s="1"/>
      <c r="AE379" s="1"/>
      <c r="AF379" s="1"/>
      <c r="AG379" s="1"/>
      <c r="AH379" s="1"/>
      <c r="AI379" s="1"/>
      <c r="AJ379" s="1"/>
      <c r="AK379" s="1"/>
    </row>
    <row r="380" spans="1:37" ht="15.95" customHeight="1">
      <c r="A380" s="208"/>
      <c r="B380" s="208"/>
      <c r="C380" s="208"/>
      <c r="D380" s="208"/>
      <c r="E380" s="208"/>
      <c r="F380" s="208"/>
      <c r="G380" s="208"/>
      <c r="H380" s="210"/>
      <c r="I380" s="208"/>
      <c r="J380" s="208"/>
      <c r="K380" s="208"/>
      <c r="L380" s="208"/>
      <c r="M380" s="208"/>
      <c r="N380" s="152"/>
      <c r="O380" s="150"/>
      <c r="AB380" s="1"/>
      <c r="AC380" s="1"/>
      <c r="AD380" s="1"/>
      <c r="AE380" s="1"/>
      <c r="AF380" s="1"/>
      <c r="AG380" s="1"/>
      <c r="AH380" s="1"/>
      <c r="AI380" s="1"/>
      <c r="AJ380" s="1"/>
      <c r="AK380" s="1"/>
    </row>
    <row r="381" spans="1:37" ht="15.95" customHeight="1">
      <c r="A381" s="208"/>
      <c r="B381" s="208"/>
      <c r="C381" s="208"/>
      <c r="D381" s="208"/>
      <c r="E381" s="208"/>
      <c r="F381" s="208"/>
      <c r="G381" s="208"/>
      <c r="H381" s="210"/>
      <c r="I381" s="208"/>
      <c r="J381" s="208"/>
      <c r="K381" s="208"/>
      <c r="L381" s="208"/>
      <c r="M381" s="208"/>
      <c r="N381" s="152"/>
      <c r="O381" s="150"/>
      <c r="AB381" s="1"/>
      <c r="AC381" s="1"/>
      <c r="AD381" s="1"/>
      <c r="AE381" s="1"/>
      <c r="AF381" s="1"/>
      <c r="AG381" s="1"/>
      <c r="AH381" s="1"/>
      <c r="AI381" s="1"/>
      <c r="AJ381" s="1"/>
      <c r="AK381" s="1"/>
    </row>
    <row r="382" spans="1:37" ht="15.95" customHeight="1">
      <c r="A382" s="208"/>
      <c r="B382" s="208"/>
      <c r="C382" s="208"/>
      <c r="D382" s="208"/>
      <c r="E382" s="208"/>
      <c r="F382" s="208"/>
      <c r="G382" s="208"/>
      <c r="H382" s="210"/>
      <c r="I382" s="208"/>
      <c r="J382" s="208"/>
      <c r="K382" s="208"/>
      <c r="L382" s="208"/>
      <c r="M382" s="208"/>
      <c r="N382" s="152"/>
      <c r="O382" s="150"/>
      <c r="AB382" s="1"/>
      <c r="AC382" s="1"/>
      <c r="AD382" s="1"/>
      <c r="AE382" s="1"/>
      <c r="AF382" s="1"/>
      <c r="AG382" s="1"/>
      <c r="AH382" s="1"/>
      <c r="AI382" s="1"/>
      <c r="AJ382" s="1"/>
      <c r="AK382" s="1"/>
    </row>
    <row r="383" spans="1:37" ht="15.95" customHeight="1">
      <c r="A383" s="208"/>
      <c r="B383" s="208"/>
      <c r="C383" s="208"/>
      <c r="D383" s="208"/>
      <c r="E383" s="208"/>
      <c r="F383" s="208"/>
      <c r="G383" s="208"/>
      <c r="H383" s="210"/>
      <c r="I383" s="208"/>
      <c r="J383" s="208"/>
      <c r="K383" s="208"/>
      <c r="L383" s="208"/>
      <c r="M383" s="208"/>
      <c r="N383" s="152"/>
      <c r="O383" s="150"/>
      <c r="AB383" s="2"/>
      <c r="AC383" s="1"/>
      <c r="AD383" s="1"/>
      <c r="AE383" s="1"/>
      <c r="AF383" s="1"/>
      <c r="AG383" s="1"/>
      <c r="AH383" s="1"/>
      <c r="AI383" s="1"/>
      <c r="AJ383" s="1"/>
      <c r="AK383" s="1"/>
    </row>
    <row r="384" spans="1:37" ht="15.95" customHeight="1">
      <c r="A384" s="208"/>
      <c r="B384" s="208"/>
      <c r="C384" s="208"/>
      <c r="D384" s="208"/>
      <c r="E384" s="208"/>
      <c r="F384" s="208"/>
      <c r="G384" s="208"/>
      <c r="H384" s="210"/>
      <c r="I384" s="208"/>
      <c r="J384" s="208"/>
      <c r="K384" s="208"/>
      <c r="L384" s="208"/>
      <c r="M384" s="208"/>
      <c r="N384" s="152"/>
      <c r="O384" s="150"/>
      <c r="AB384" s="1"/>
      <c r="AC384" s="1"/>
      <c r="AD384" s="1"/>
      <c r="AE384" s="1"/>
      <c r="AF384" s="1"/>
      <c r="AG384" s="1"/>
      <c r="AH384" s="1"/>
      <c r="AI384" s="1"/>
      <c r="AJ384" s="1"/>
      <c r="AK384" s="1"/>
    </row>
    <row r="385" spans="1:37" ht="15.95" customHeight="1">
      <c r="A385" s="208"/>
      <c r="B385" s="208"/>
      <c r="C385" s="208"/>
      <c r="D385" s="208"/>
      <c r="E385" s="208"/>
      <c r="F385" s="208"/>
      <c r="G385" s="208"/>
      <c r="H385" s="210"/>
      <c r="I385" s="208"/>
      <c r="J385" s="208"/>
      <c r="K385" s="208"/>
      <c r="L385" s="208"/>
      <c r="M385" s="208"/>
      <c r="N385" s="152"/>
      <c r="O385" s="150"/>
      <c r="AB385" s="1"/>
      <c r="AC385" s="1"/>
      <c r="AD385" s="1"/>
      <c r="AE385" s="1"/>
      <c r="AF385" s="1"/>
      <c r="AG385" s="1"/>
      <c r="AH385" s="1"/>
      <c r="AI385" s="1"/>
      <c r="AJ385" s="1"/>
      <c r="AK385" s="1"/>
    </row>
    <row r="386" spans="1:37" ht="15.95" customHeight="1">
      <c r="A386" s="208"/>
      <c r="B386" s="208"/>
      <c r="C386" s="208"/>
      <c r="D386" s="208"/>
      <c r="E386" s="208"/>
      <c r="F386" s="208"/>
      <c r="G386" s="208"/>
      <c r="H386" s="210"/>
      <c r="I386" s="208"/>
      <c r="J386" s="208"/>
      <c r="K386" s="208"/>
      <c r="L386" s="208"/>
      <c r="M386" s="208"/>
      <c r="N386" s="152"/>
      <c r="O386" s="150"/>
      <c r="AB386" s="1"/>
      <c r="AC386" s="1"/>
      <c r="AD386" s="1"/>
      <c r="AE386" s="1"/>
      <c r="AF386" s="1"/>
      <c r="AG386" s="1"/>
      <c r="AH386" s="1"/>
      <c r="AI386" s="1"/>
      <c r="AJ386" s="1"/>
      <c r="AK386" s="1"/>
    </row>
    <row r="387" spans="1:37" ht="15.95" customHeight="1">
      <c r="A387" s="208"/>
      <c r="B387" s="208"/>
      <c r="C387" s="208"/>
      <c r="D387" s="208"/>
      <c r="E387" s="208"/>
      <c r="F387" s="208"/>
      <c r="G387" s="208"/>
      <c r="H387" s="210"/>
      <c r="I387" s="208"/>
      <c r="J387" s="208"/>
      <c r="K387" s="208"/>
      <c r="L387" s="208"/>
      <c r="M387" s="208"/>
      <c r="N387" s="152"/>
      <c r="O387" s="150"/>
      <c r="AB387" s="1"/>
      <c r="AC387" s="1"/>
      <c r="AD387" s="1"/>
      <c r="AE387" s="1"/>
      <c r="AF387" s="1"/>
      <c r="AG387" s="1"/>
      <c r="AH387" s="1"/>
      <c r="AI387" s="1"/>
      <c r="AJ387" s="1"/>
      <c r="AK387" s="1"/>
    </row>
    <row r="388" spans="1:37" ht="15.95" customHeight="1">
      <c r="A388" s="208"/>
      <c r="B388" s="208"/>
      <c r="C388" s="208"/>
      <c r="D388" s="208"/>
      <c r="E388" s="208"/>
      <c r="F388" s="208"/>
      <c r="G388" s="208"/>
      <c r="H388" s="210"/>
      <c r="I388" s="208"/>
      <c r="J388" s="208"/>
      <c r="K388" s="208"/>
      <c r="L388" s="208"/>
      <c r="M388" s="208"/>
      <c r="N388" s="152"/>
      <c r="O388" s="150"/>
      <c r="AB388" s="2"/>
      <c r="AC388" s="1"/>
      <c r="AD388" s="1"/>
      <c r="AE388" s="1"/>
      <c r="AF388" s="1"/>
      <c r="AG388" s="1"/>
      <c r="AH388" s="1"/>
      <c r="AI388" s="1"/>
      <c r="AJ388" s="1"/>
      <c r="AK388" s="1"/>
    </row>
    <row r="389" spans="1:37" ht="15.95" customHeight="1">
      <c r="A389" s="208"/>
      <c r="B389" s="208"/>
      <c r="C389" s="208"/>
      <c r="D389" s="208"/>
      <c r="E389" s="208"/>
      <c r="F389" s="208"/>
      <c r="G389" s="208"/>
      <c r="H389" s="210"/>
      <c r="I389" s="208"/>
      <c r="J389" s="208"/>
      <c r="K389" s="208"/>
      <c r="L389" s="208"/>
      <c r="M389" s="208"/>
      <c r="N389" s="152"/>
      <c r="O389" s="150"/>
      <c r="AB389" s="1"/>
      <c r="AC389" s="1"/>
      <c r="AD389" s="1"/>
      <c r="AE389" s="1"/>
      <c r="AF389" s="1"/>
      <c r="AG389" s="1"/>
      <c r="AH389" s="1"/>
      <c r="AI389" s="1"/>
      <c r="AJ389" s="1"/>
      <c r="AK389" s="1"/>
    </row>
    <row r="390" spans="1:37" ht="15.75">
      <c r="A390" s="208"/>
      <c r="B390" s="208"/>
      <c r="C390" s="208"/>
      <c r="D390" s="208"/>
      <c r="E390" s="208"/>
      <c r="F390" s="208"/>
      <c r="G390" s="208"/>
      <c r="H390" s="210"/>
      <c r="I390" s="208"/>
      <c r="J390" s="208"/>
      <c r="K390" s="208"/>
      <c r="L390" s="208"/>
      <c r="M390" s="208"/>
      <c r="N390" s="152"/>
      <c r="O390" s="150"/>
      <c r="AB390" s="1"/>
      <c r="AC390" s="1"/>
      <c r="AD390" s="1"/>
      <c r="AE390" s="1"/>
      <c r="AF390" s="1"/>
      <c r="AG390" s="1"/>
      <c r="AH390" s="1"/>
      <c r="AI390" s="1"/>
      <c r="AJ390" s="1"/>
      <c r="AK390" s="1"/>
    </row>
    <row r="391" spans="1:37" ht="15.95" customHeight="1">
      <c r="A391" s="208"/>
      <c r="B391" s="208"/>
      <c r="C391" s="208"/>
      <c r="D391" s="208"/>
      <c r="E391" s="208"/>
      <c r="F391" s="208"/>
      <c r="G391" s="208"/>
      <c r="H391" s="210"/>
      <c r="I391" s="208"/>
      <c r="J391" s="208"/>
      <c r="K391" s="208"/>
      <c r="L391" s="208"/>
      <c r="M391" s="208"/>
      <c r="N391" s="152"/>
      <c r="O391" s="150"/>
      <c r="AB391" s="1"/>
      <c r="AC391" s="1"/>
      <c r="AD391" s="1"/>
      <c r="AE391" s="1"/>
      <c r="AF391" s="1"/>
      <c r="AG391" s="1"/>
      <c r="AH391" s="1"/>
      <c r="AI391" s="1"/>
      <c r="AJ391" s="1"/>
      <c r="AK391" s="1"/>
    </row>
    <row r="392" spans="1:37" ht="15.75" customHeight="1">
      <c r="A392" s="208"/>
      <c r="B392" s="208"/>
      <c r="C392" s="208"/>
      <c r="D392" s="208"/>
      <c r="E392" s="208"/>
      <c r="F392" s="208"/>
      <c r="G392" s="208"/>
      <c r="H392" s="210"/>
      <c r="I392" s="208"/>
      <c r="J392" s="208"/>
      <c r="K392" s="208"/>
      <c r="L392" s="208"/>
      <c r="M392" s="208"/>
      <c r="N392" s="152"/>
      <c r="O392" s="208"/>
      <c r="P392" s="90"/>
      <c r="AB392" s="1"/>
      <c r="AC392" s="1"/>
      <c r="AD392" s="1"/>
      <c r="AE392" s="1"/>
      <c r="AF392" s="1"/>
      <c r="AG392" s="1"/>
      <c r="AH392" s="1"/>
      <c r="AI392" s="1"/>
      <c r="AJ392" s="1"/>
      <c r="AK392" s="1"/>
    </row>
    <row r="393" spans="1:37" ht="15.75">
      <c r="A393" s="208"/>
      <c r="B393" s="208"/>
      <c r="C393" s="208"/>
      <c r="D393" s="208"/>
      <c r="E393" s="208"/>
      <c r="F393" s="208"/>
      <c r="G393" s="208"/>
      <c r="H393" s="210"/>
      <c r="I393" s="208"/>
      <c r="J393" s="208"/>
      <c r="K393" s="208"/>
      <c r="L393" s="208"/>
      <c r="M393" s="208"/>
      <c r="N393" s="152"/>
      <c r="O393" s="208"/>
      <c r="P393" s="90"/>
      <c r="AB393" s="1"/>
      <c r="AC393" s="1"/>
      <c r="AD393" s="1"/>
      <c r="AE393" s="1"/>
      <c r="AF393" s="1"/>
      <c r="AG393" s="1"/>
      <c r="AH393" s="1"/>
      <c r="AI393" s="1"/>
      <c r="AJ393" s="1"/>
      <c r="AK393" s="1"/>
    </row>
    <row r="394" spans="1:37" ht="15.75">
      <c r="A394" s="208"/>
      <c r="B394" s="208"/>
      <c r="C394" s="208"/>
      <c r="D394" s="208"/>
      <c r="E394" s="208"/>
      <c r="F394" s="208"/>
      <c r="G394" s="208"/>
      <c r="H394" s="210"/>
      <c r="I394" s="208"/>
      <c r="J394" s="208"/>
      <c r="K394" s="208"/>
      <c r="L394" s="208"/>
      <c r="M394" s="208"/>
      <c r="N394" s="152"/>
      <c r="O394" s="208"/>
      <c r="P394" s="90"/>
      <c r="AB394" s="1"/>
      <c r="AC394" s="1"/>
      <c r="AD394" s="1"/>
      <c r="AE394" s="1"/>
      <c r="AF394" s="1"/>
      <c r="AG394" s="1"/>
      <c r="AH394" s="1"/>
      <c r="AI394" s="1"/>
      <c r="AJ394" s="1"/>
      <c r="AK394" s="1"/>
    </row>
    <row r="395" spans="1:37" ht="15.95" customHeight="1">
      <c r="A395" s="208"/>
      <c r="B395" s="208"/>
      <c r="C395" s="208"/>
      <c r="D395" s="208"/>
      <c r="E395" s="208"/>
      <c r="F395" s="208"/>
      <c r="G395" s="208"/>
      <c r="H395" s="210"/>
      <c r="I395" s="208"/>
      <c r="J395" s="208"/>
      <c r="K395" s="208"/>
      <c r="L395" s="208"/>
      <c r="M395" s="208"/>
      <c r="N395" s="152"/>
      <c r="O395" s="208"/>
      <c r="P395" s="90"/>
      <c r="AB395" s="1"/>
      <c r="AC395" s="1"/>
      <c r="AD395" s="1"/>
      <c r="AE395" s="1"/>
      <c r="AF395" s="1"/>
      <c r="AG395" s="1"/>
      <c r="AH395" s="1"/>
      <c r="AI395" s="1"/>
      <c r="AJ395" s="1"/>
      <c r="AK395" s="1"/>
    </row>
    <row r="396" spans="1:37" ht="15.75" customHeight="1">
      <c r="A396" s="208"/>
      <c r="B396" s="208"/>
      <c r="C396" s="208"/>
      <c r="D396" s="208"/>
      <c r="E396" s="208"/>
      <c r="F396" s="208"/>
      <c r="G396" s="208"/>
      <c r="H396" s="210"/>
      <c r="I396" s="208"/>
      <c r="J396" s="208"/>
      <c r="K396" s="208"/>
      <c r="L396" s="208"/>
      <c r="M396" s="208"/>
      <c r="N396" s="152"/>
      <c r="O396" s="208"/>
      <c r="P396" s="90"/>
      <c r="Z396" s="6"/>
      <c r="AA396" s="6"/>
      <c r="AB396" s="1"/>
      <c r="AC396" s="1"/>
      <c r="AD396" s="1"/>
      <c r="AE396" s="1"/>
      <c r="AF396" s="1"/>
      <c r="AG396" s="1"/>
      <c r="AH396" s="1"/>
      <c r="AI396" s="1"/>
      <c r="AJ396" s="1"/>
      <c r="AK396" s="1"/>
    </row>
    <row r="397" spans="1:37" ht="15.75">
      <c r="A397" s="208"/>
      <c r="B397" s="208"/>
      <c r="C397" s="208"/>
      <c r="D397" s="208"/>
      <c r="E397" s="208"/>
      <c r="F397" s="208"/>
      <c r="G397" s="208"/>
      <c r="H397" s="210"/>
      <c r="I397" s="208"/>
      <c r="J397" s="208"/>
      <c r="K397" s="208"/>
      <c r="L397" s="208"/>
      <c r="M397" s="208"/>
      <c r="N397" s="152"/>
      <c r="O397" s="208"/>
      <c r="P397" s="90"/>
      <c r="Z397" s="6"/>
      <c r="AA397" s="6"/>
      <c r="AB397" s="1"/>
      <c r="AC397" s="1"/>
      <c r="AD397" s="1"/>
      <c r="AE397" s="1"/>
      <c r="AF397" s="1"/>
      <c r="AG397" s="1"/>
      <c r="AH397" s="1"/>
      <c r="AI397" s="1"/>
      <c r="AJ397" s="1"/>
      <c r="AK397" s="1"/>
    </row>
    <row r="398" spans="1:37" ht="15.75" customHeight="1">
      <c r="A398" s="208"/>
      <c r="B398" s="208"/>
      <c r="C398" s="208"/>
      <c r="D398" s="208"/>
      <c r="E398" s="208"/>
      <c r="F398" s="208"/>
      <c r="G398" s="208"/>
      <c r="H398" s="210"/>
      <c r="I398" s="208"/>
      <c r="J398" s="208"/>
      <c r="K398" s="208"/>
      <c r="L398" s="208"/>
      <c r="M398" s="208"/>
      <c r="N398" s="152"/>
      <c r="O398" s="208"/>
      <c r="P398" s="90"/>
      <c r="Z398" s="6"/>
      <c r="AA398" s="6"/>
      <c r="AB398" s="2"/>
      <c r="AC398" s="1"/>
      <c r="AD398" s="1"/>
      <c r="AE398" s="1"/>
      <c r="AF398" s="1"/>
      <c r="AG398" s="1"/>
      <c r="AH398" s="1"/>
      <c r="AI398" s="1"/>
      <c r="AJ398" s="1"/>
      <c r="AK398" s="1"/>
    </row>
    <row r="399" spans="1:37" ht="15.75">
      <c r="A399" s="208"/>
      <c r="B399" s="208"/>
      <c r="C399" s="208"/>
      <c r="D399" s="208"/>
      <c r="E399" s="208"/>
      <c r="F399" s="208"/>
      <c r="G399" s="208"/>
      <c r="H399" s="210"/>
      <c r="I399" s="208"/>
      <c r="J399" s="208"/>
      <c r="K399" s="208"/>
      <c r="L399" s="208"/>
      <c r="M399" s="208"/>
      <c r="N399" s="152"/>
      <c r="O399" s="208"/>
      <c r="P399" s="90"/>
      <c r="Z399" s="6"/>
      <c r="AA399" s="6"/>
      <c r="AB399" s="1"/>
      <c r="AC399" s="1"/>
      <c r="AD399" s="1"/>
      <c r="AE399" s="1"/>
      <c r="AF399" s="1"/>
      <c r="AG399" s="1"/>
      <c r="AH399" s="1"/>
      <c r="AI399" s="1"/>
      <c r="AJ399" s="1"/>
      <c r="AK399" s="1"/>
    </row>
    <row r="400" spans="1:37" ht="15.75">
      <c r="A400" s="208"/>
      <c r="B400" s="208"/>
      <c r="C400" s="208"/>
      <c r="D400" s="208"/>
      <c r="E400" s="208"/>
      <c r="F400" s="208"/>
      <c r="G400" s="208"/>
      <c r="H400" s="210"/>
      <c r="I400" s="208"/>
      <c r="J400" s="208"/>
      <c r="K400" s="208"/>
      <c r="L400" s="208"/>
      <c r="M400" s="208"/>
      <c r="N400" s="152"/>
      <c r="O400" s="208"/>
      <c r="P400" s="90"/>
      <c r="Z400" s="6"/>
      <c r="AA400" s="6"/>
      <c r="AB400" s="1"/>
      <c r="AC400" s="1"/>
      <c r="AD400" s="1"/>
      <c r="AE400" s="1"/>
      <c r="AF400" s="1"/>
      <c r="AG400" s="1"/>
      <c r="AH400" s="1"/>
      <c r="AI400" s="1"/>
      <c r="AJ400" s="1"/>
      <c r="AK400" s="1"/>
    </row>
    <row r="401" spans="1:37" ht="15.95" customHeight="1">
      <c r="A401" s="208"/>
      <c r="B401" s="208"/>
      <c r="C401" s="208"/>
      <c r="D401" s="208"/>
      <c r="E401" s="208"/>
      <c r="F401" s="208"/>
      <c r="G401" s="208"/>
      <c r="H401" s="210"/>
      <c r="I401" s="208"/>
      <c r="J401" s="208"/>
      <c r="K401" s="208"/>
      <c r="L401" s="208"/>
      <c r="M401" s="208"/>
      <c r="N401" s="152"/>
      <c r="O401" s="208"/>
      <c r="P401" s="90"/>
      <c r="Z401" s="6"/>
      <c r="AA401" s="6"/>
      <c r="AB401" s="1"/>
      <c r="AC401" s="1"/>
      <c r="AD401" s="1"/>
      <c r="AE401" s="1"/>
      <c r="AF401" s="1"/>
      <c r="AG401" s="1"/>
      <c r="AH401" s="1"/>
      <c r="AI401" s="1"/>
      <c r="AJ401" s="1"/>
      <c r="AK401" s="1"/>
    </row>
    <row r="402" spans="1:37" ht="15.75">
      <c r="A402" s="208"/>
      <c r="B402" s="208"/>
      <c r="C402" s="208"/>
      <c r="D402" s="208"/>
      <c r="E402" s="208"/>
      <c r="F402" s="208"/>
      <c r="G402" s="208"/>
      <c r="H402" s="210"/>
      <c r="I402" s="208"/>
      <c r="J402" s="208"/>
      <c r="K402" s="208"/>
      <c r="L402" s="208"/>
      <c r="M402" s="208"/>
      <c r="N402" s="152"/>
      <c r="O402" s="208"/>
      <c r="P402" s="90"/>
      <c r="Z402" s="6"/>
      <c r="AA402" s="6"/>
      <c r="AB402" s="1"/>
      <c r="AC402" s="1"/>
      <c r="AD402" s="1"/>
      <c r="AE402" s="1"/>
      <c r="AF402" s="1"/>
      <c r="AG402" s="1"/>
      <c r="AH402" s="1"/>
      <c r="AI402" s="1"/>
      <c r="AJ402" s="1"/>
      <c r="AK402" s="1"/>
    </row>
    <row r="403" spans="1:37" ht="15.95" customHeight="1">
      <c r="A403" s="208"/>
      <c r="B403" s="208"/>
      <c r="C403" s="208"/>
      <c r="D403" s="208"/>
      <c r="E403" s="208"/>
      <c r="F403" s="208"/>
      <c r="G403" s="208"/>
      <c r="H403" s="210"/>
      <c r="I403" s="208"/>
      <c r="J403" s="208"/>
      <c r="K403" s="208"/>
      <c r="L403" s="208"/>
      <c r="M403" s="208"/>
      <c r="N403" s="152"/>
      <c r="O403" s="208"/>
      <c r="P403" s="90"/>
      <c r="Z403" s="6"/>
      <c r="AA403" s="6"/>
      <c r="AB403" s="2"/>
      <c r="AC403" s="1"/>
      <c r="AD403" s="1"/>
      <c r="AE403" s="1"/>
      <c r="AF403" s="1"/>
      <c r="AG403" s="1"/>
      <c r="AH403" s="1"/>
      <c r="AI403" s="1"/>
      <c r="AJ403" s="1"/>
      <c r="AK403" s="1"/>
    </row>
    <row r="404" spans="1:37" ht="15.75" customHeight="1">
      <c r="A404" s="208"/>
      <c r="B404" s="208"/>
      <c r="C404" s="208"/>
      <c r="D404" s="208"/>
      <c r="E404" s="208"/>
      <c r="F404" s="208"/>
      <c r="G404" s="208"/>
      <c r="H404" s="210"/>
      <c r="I404" s="208"/>
      <c r="J404" s="208"/>
      <c r="K404" s="208"/>
      <c r="L404" s="208"/>
      <c r="M404" s="208"/>
      <c r="N404" s="152"/>
      <c r="O404" s="208"/>
      <c r="P404" s="90"/>
      <c r="Z404" s="6"/>
      <c r="AA404" s="6"/>
      <c r="AB404" s="1"/>
      <c r="AC404" s="1"/>
      <c r="AD404" s="1"/>
      <c r="AE404" s="1"/>
      <c r="AF404" s="1"/>
      <c r="AG404" s="1"/>
      <c r="AH404" s="1"/>
      <c r="AI404" s="1"/>
      <c r="AJ404" s="1"/>
      <c r="AK404" s="1"/>
    </row>
    <row r="405" spans="1:37" ht="15.75">
      <c r="A405" s="208"/>
      <c r="B405" s="208"/>
      <c r="C405" s="208"/>
      <c r="D405" s="208"/>
      <c r="E405" s="208"/>
      <c r="F405" s="208"/>
      <c r="G405" s="208"/>
      <c r="H405" s="210"/>
      <c r="I405" s="208"/>
      <c r="J405" s="208"/>
      <c r="K405" s="208"/>
      <c r="L405" s="208"/>
      <c r="M405" s="208"/>
      <c r="N405" s="152"/>
      <c r="O405" s="208"/>
      <c r="P405" s="90"/>
      <c r="Z405" s="6"/>
      <c r="AA405" s="6"/>
      <c r="AB405" s="1"/>
      <c r="AC405" s="1"/>
      <c r="AD405" s="1"/>
      <c r="AE405" s="1"/>
      <c r="AF405" s="1"/>
      <c r="AG405" s="1"/>
      <c r="AH405" s="1"/>
      <c r="AI405" s="1"/>
      <c r="AJ405" s="1"/>
      <c r="AK405" s="1"/>
    </row>
    <row r="406" spans="1:37" ht="15.75">
      <c r="A406" s="208"/>
      <c r="B406" s="208"/>
      <c r="C406" s="208"/>
      <c r="D406" s="208"/>
      <c r="E406" s="208"/>
      <c r="F406" s="208"/>
      <c r="G406" s="208"/>
      <c r="H406" s="210"/>
      <c r="I406" s="208"/>
      <c r="J406" s="208"/>
      <c r="K406" s="208"/>
      <c r="L406" s="208"/>
      <c r="M406" s="208"/>
      <c r="N406" s="152"/>
      <c r="O406" s="208"/>
      <c r="P406" s="90"/>
      <c r="Z406" s="6"/>
      <c r="AA406" s="6"/>
      <c r="AB406" s="1"/>
      <c r="AC406" s="1"/>
      <c r="AD406" s="1"/>
      <c r="AE406" s="1"/>
      <c r="AF406" s="1"/>
      <c r="AG406" s="1"/>
      <c r="AH406" s="1"/>
      <c r="AI406" s="1"/>
      <c r="AJ406" s="1"/>
      <c r="AK406" s="1"/>
    </row>
    <row r="407" spans="1:37" ht="15.75" customHeight="1">
      <c r="A407" s="208"/>
      <c r="B407" s="208"/>
      <c r="C407" s="208"/>
      <c r="D407" s="208"/>
      <c r="E407" s="208"/>
      <c r="F407" s="208"/>
      <c r="G407" s="208"/>
      <c r="H407" s="210"/>
      <c r="I407" s="208"/>
      <c r="J407" s="208"/>
      <c r="K407" s="208"/>
      <c r="L407" s="208"/>
      <c r="M407" s="208"/>
      <c r="N407" s="152"/>
      <c r="O407" s="208"/>
      <c r="P407" s="90"/>
      <c r="Z407" s="6"/>
      <c r="AA407" s="6"/>
      <c r="AB407" s="1"/>
      <c r="AC407" s="1"/>
      <c r="AD407" s="1"/>
      <c r="AE407" s="1"/>
      <c r="AF407" s="1"/>
      <c r="AG407" s="1"/>
      <c r="AH407" s="1"/>
      <c r="AI407" s="1"/>
      <c r="AJ407" s="1"/>
      <c r="AK407" s="1"/>
    </row>
    <row r="408" spans="1:37" ht="15.75">
      <c r="A408" s="208"/>
      <c r="B408" s="208"/>
      <c r="C408" s="208"/>
      <c r="D408" s="208"/>
      <c r="E408" s="208"/>
      <c r="F408" s="208"/>
      <c r="G408" s="208"/>
      <c r="H408" s="210"/>
      <c r="I408" s="208"/>
      <c r="J408" s="208"/>
      <c r="K408" s="208"/>
      <c r="L408" s="208"/>
      <c r="M408" s="208"/>
      <c r="N408" s="152"/>
      <c r="O408" s="208"/>
      <c r="P408" s="90"/>
      <c r="Z408" s="6"/>
      <c r="AA408" s="6"/>
      <c r="AB408" s="1"/>
      <c r="AC408" s="1"/>
      <c r="AD408" s="1"/>
      <c r="AE408" s="1"/>
      <c r="AF408" s="1"/>
      <c r="AG408" s="1"/>
    </row>
    <row r="409" spans="1:37" ht="6.75" customHeight="1">
      <c r="A409" s="208"/>
      <c r="B409" s="208"/>
      <c r="C409" s="208"/>
      <c r="D409" s="208"/>
      <c r="E409" s="208"/>
      <c r="F409" s="208"/>
      <c r="G409" s="208"/>
      <c r="H409" s="210"/>
      <c r="I409" s="208"/>
      <c r="J409" s="208"/>
      <c r="K409" s="208"/>
      <c r="L409" s="208"/>
      <c r="M409" s="208"/>
      <c r="N409" s="208"/>
      <c r="O409" s="150"/>
      <c r="Z409" s="6"/>
      <c r="AA409" s="6"/>
      <c r="AB409" s="1"/>
      <c r="AC409" s="1"/>
      <c r="AD409" s="1"/>
      <c r="AE409" s="1"/>
      <c r="AF409" s="1"/>
      <c r="AG409" s="1"/>
      <c r="AH409" s="1"/>
      <c r="AI409" s="1"/>
      <c r="AJ409" s="1"/>
      <c r="AK409" s="1"/>
    </row>
    <row r="410" spans="1:37" ht="12" customHeight="1">
      <c r="A410" s="208"/>
      <c r="B410" s="208"/>
      <c r="C410" s="208"/>
      <c r="D410" s="208"/>
      <c r="E410" s="208"/>
      <c r="F410" s="208"/>
      <c r="G410" s="208"/>
      <c r="H410" s="210"/>
      <c r="I410" s="208"/>
      <c r="J410" s="208"/>
      <c r="K410" s="208"/>
      <c r="L410" s="208"/>
      <c r="M410" s="208"/>
      <c r="N410" s="267"/>
      <c r="O410" s="215"/>
      <c r="P410" s="4"/>
      <c r="Q410" s="4"/>
      <c r="R410" s="4"/>
      <c r="S410" s="4"/>
      <c r="T410" s="4"/>
      <c r="U410" s="4"/>
      <c r="V410" s="4"/>
      <c r="W410" s="4"/>
      <c r="X410" s="4"/>
      <c r="Y410" s="4"/>
      <c r="Z410" s="4"/>
      <c r="AA410" s="4"/>
      <c r="AB410" s="26"/>
      <c r="AC410" s="4"/>
      <c r="AD410" s="4"/>
      <c r="AE410" s="4"/>
      <c r="AF410" s="4"/>
      <c r="AG410" s="1"/>
      <c r="AH410" s="1"/>
      <c r="AI410" s="1"/>
      <c r="AJ410" s="1"/>
      <c r="AK410" s="1"/>
    </row>
    <row r="411" spans="1:37" ht="15.75">
      <c r="A411" s="208"/>
      <c r="B411" s="208"/>
      <c r="C411" s="208"/>
      <c r="D411" s="208"/>
      <c r="E411" s="208"/>
      <c r="F411" s="208"/>
      <c r="G411" s="208"/>
      <c r="H411" s="210"/>
      <c r="I411" s="208"/>
      <c r="J411" s="208"/>
      <c r="K411" s="208"/>
      <c r="L411" s="208"/>
      <c r="M411" s="208"/>
      <c r="N411" s="268"/>
      <c r="O411" s="208"/>
      <c r="P411" s="4"/>
      <c r="Q411" s="4"/>
      <c r="R411" s="4"/>
      <c r="S411" s="4"/>
      <c r="T411" s="4"/>
      <c r="U411" s="4"/>
      <c r="V411" s="4"/>
      <c r="W411" s="4"/>
      <c r="X411" s="4"/>
      <c r="Y411" s="4"/>
      <c r="Z411" s="4"/>
      <c r="AA411" s="26"/>
      <c r="AB411" s="26"/>
      <c r="AC411" s="4"/>
      <c r="AD411" s="4"/>
      <c r="AE411" s="4"/>
      <c r="AF411" s="4"/>
      <c r="AG411" s="1"/>
      <c r="AH411" s="1"/>
      <c r="AI411" s="1"/>
      <c r="AJ411" s="1"/>
      <c r="AK411" s="1"/>
    </row>
    <row r="412" spans="1:37" ht="15.95" customHeight="1">
      <c r="A412" s="208"/>
      <c r="B412" s="208"/>
      <c r="C412" s="208"/>
      <c r="D412" s="208"/>
      <c r="E412" s="208"/>
      <c r="F412" s="208"/>
      <c r="G412" s="208"/>
      <c r="H412" s="210"/>
      <c r="I412" s="208"/>
      <c r="J412" s="208"/>
      <c r="K412" s="208"/>
      <c r="L412" s="208"/>
      <c r="M412" s="208"/>
      <c r="N412" s="267"/>
      <c r="O412" s="150"/>
      <c r="P412" s="48"/>
      <c r="Q412" s="37"/>
      <c r="R412" s="37"/>
      <c r="S412" s="37"/>
      <c r="T412" s="37"/>
      <c r="U412" s="37"/>
      <c r="V412" s="37"/>
      <c r="W412" s="37"/>
      <c r="X412" s="37"/>
      <c r="Y412" s="37"/>
      <c r="Z412" s="48"/>
      <c r="AA412" s="6"/>
      <c r="AB412" s="1"/>
      <c r="AC412" s="1"/>
      <c r="AD412" s="1"/>
      <c r="AE412" s="1"/>
      <c r="AF412" s="1"/>
      <c r="AG412" s="1"/>
      <c r="AH412" s="1"/>
      <c r="AI412" s="1"/>
      <c r="AJ412" s="1"/>
      <c r="AK412" s="1"/>
    </row>
    <row r="413" spans="1:37" ht="15.75">
      <c r="A413" s="208"/>
      <c r="B413" s="208"/>
      <c r="C413" s="208"/>
      <c r="D413" s="208"/>
      <c r="E413" s="208"/>
      <c r="F413" s="208"/>
      <c r="G413" s="208"/>
      <c r="H413" s="210"/>
      <c r="I413" s="208"/>
      <c r="J413" s="208"/>
      <c r="K413" s="208"/>
      <c r="L413" s="208"/>
      <c r="M413" s="208"/>
      <c r="N413" s="267"/>
      <c r="O413" s="150"/>
      <c r="P413" s="48"/>
      <c r="Q413" s="37"/>
      <c r="R413" s="37"/>
      <c r="S413" s="37"/>
      <c r="T413" s="37"/>
      <c r="U413" s="37"/>
      <c r="V413" s="37"/>
      <c r="W413" s="37"/>
      <c r="X413" s="37"/>
      <c r="Y413" s="37"/>
      <c r="Z413" s="48"/>
      <c r="AA413" s="6"/>
      <c r="AB413" s="1"/>
      <c r="AC413" s="1"/>
      <c r="AD413" s="1"/>
      <c r="AE413" s="1"/>
      <c r="AF413" s="1"/>
      <c r="AG413" s="1"/>
      <c r="AH413" s="1"/>
      <c r="AI413" s="1"/>
      <c r="AJ413" s="1"/>
      <c r="AK413" s="1"/>
    </row>
    <row r="414" spans="1:37" ht="15.75">
      <c r="A414" s="208"/>
      <c r="B414" s="208"/>
      <c r="C414" s="208"/>
      <c r="D414" s="208"/>
      <c r="E414" s="208"/>
      <c r="F414" s="208"/>
      <c r="G414" s="208"/>
      <c r="H414" s="210"/>
      <c r="I414" s="208"/>
      <c r="J414" s="208"/>
      <c r="K414" s="208"/>
      <c r="L414" s="208"/>
      <c r="M414" s="208"/>
      <c r="N414" s="208"/>
      <c r="O414" s="150"/>
      <c r="P414" s="48"/>
      <c r="Q414" s="37"/>
      <c r="R414" s="37"/>
      <c r="S414" s="37"/>
      <c r="T414" s="37"/>
      <c r="U414" s="37"/>
      <c r="V414" s="37"/>
      <c r="W414" s="37"/>
      <c r="X414" s="37"/>
      <c r="Y414" s="37"/>
      <c r="Z414" s="48"/>
      <c r="AA414" s="6"/>
      <c r="AB414" s="1"/>
      <c r="AC414" s="1"/>
      <c r="AD414" s="1"/>
      <c r="AE414" s="1"/>
      <c r="AF414" s="1"/>
      <c r="AG414" s="1"/>
      <c r="AH414" s="1"/>
      <c r="AI414" s="1"/>
      <c r="AJ414" s="1"/>
      <c r="AK414" s="1"/>
    </row>
    <row r="415" spans="1:37" ht="15.75">
      <c r="A415" s="208"/>
      <c r="B415" s="208"/>
      <c r="C415" s="208"/>
      <c r="D415" s="208"/>
      <c r="E415" s="208"/>
      <c r="F415" s="208"/>
      <c r="G415" s="208"/>
      <c r="H415" s="210"/>
      <c r="I415" s="208"/>
      <c r="J415" s="208"/>
      <c r="K415" s="208"/>
      <c r="L415" s="208"/>
      <c r="M415" s="208"/>
      <c r="N415" s="267"/>
      <c r="O415" s="150"/>
      <c r="P415" s="48"/>
      <c r="Q415" s="37"/>
      <c r="R415" s="37"/>
      <c r="S415" s="37"/>
      <c r="T415" s="37"/>
      <c r="U415" s="37"/>
      <c r="V415" s="37"/>
      <c r="W415" s="37"/>
      <c r="X415" s="37"/>
      <c r="Y415" s="37"/>
      <c r="Z415" s="48"/>
      <c r="AA415" s="6"/>
      <c r="AB415" s="1"/>
      <c r="AC415" s="1"/>
      <c r="AD415" s="1"/>
      <c r="AE415" s="1"/>
      <c r="AF415" s="1"/>
      <c r="AG415" s="1"/>
      <c r="AH415" s="1"/>
      <c r="AI415" s="1"/>
      <c r="AJ415" s="1"/>
      <c r="AK415" s="1"/>
    </row>
    <row r="416" spans="1:37" ht="15.75">
      <c r="A416" s="208"/>
      <c r="B416" s="208"/>
      <c r="C416" s="208"/>
      <c r="D416" s="208"/>
      <c r="E416" s="208"/>
      <c r="F416" s="208"/>
      <c r="G416" s="208"/>
      <c r="H416" s="210"/>
      <c r="I416" s="208"/>
      <c r="J416" s="208"/>
      <c r="K416" s="208"/>
      <c r="L416" s="208"/>
      <c r="M416" s="208"/>
      <c r="N416" s="267"/>
      <c r="O416" s="150"/>
      <c r="P416" s="48"/>
      <c r="Q416" s="37"/>
      <c r="R416" s="37"/>
      <c r="S416" s="37"/>
      <c r="T416" s="37"/>
      <c r="U416" s="37"/>
      <c r="V416" s="37"/>
      <c r="W416" s="37"/>
      <c r="X416" s="37"/>
      <c r="Y416" s="37"/>
      <c r="Z416" s="48"/>
      <c r="AA416" s="6"/>
      <c r="AB416" s="1"/>
      <c r="AC416" s="1"/>
      <c r="AD416" s="1"/>
      <c r="AE416" s="1"/>
      <c r="AF416" s="1"/>
      <c r="AG416" s="1"/>
      <c r="AH416" s="1"/>
      <c r="AI416" s="1"/>
      <c r="AJ416" s="1"/>
      <c r="AK416" s="1"/>
    </row>
    <row r="417" spans="1:37" ht="15.75">
      <c r="A417" s="208"/>
      <c r="B417" s="208"/>
      <c r="C417" s="208"/>
      <c r="D417" s="208"/>
      <c r="E417" s="208"/>
      <c r="F417" s="208"/>
      <c r="G417" s="208"/>
      <c r="H417" s="210"/>
      <c r="I417" s="208"/>
      <c r="J417" s="208"/>
      <c r="K417" s="208"/>
      <c r="L417" s="208"/>
      <c r="M417" s="208"/>
      <c r="N417" s="267"/>
      <c r="O417" s="150"/>
      <c r="P417" s="48"/>
      <c r="Q417" s="37"/>
      <c r="R417" s="37"/>
      <c r="S417" s="37"/>
      <c r="T417" s="37"/>
      <c r="U417" s="37"/>
      <c r="V417" s="37"/>
      <c r="W417" s="37"/>
      <c r="X417" s="37"/>
      <c r="Y417" s="37"/>
      <c r="Z417" s="48"/>
      <c r="AA417" s="6"/>
      <c r="AB417" s="1"/>
      <c r="AC417" s="1"/>
      <c r="AD417" s="1"/>
      <c r="AE417" s="1"/>
      <c r="AF417" s="1"/>
      <c r="AG417" s="1"/>
      <c r="AH417" s="1"/>
      <c r="AI417" s="1"/>
      <c r="AJ417" s="1"/>
      <c r="AK417" s="1"/>
    </row>
    <row r="418" spans="1:37" ht="15.75">
      <c r="A418" s="208"/>
      <c r="B418" s="208"/>
      <c r="C418" s="208"/>
      <c r="D418" s="208"/>
      <c r="E418" s="208"/>
      <c r="F418" s="208"/>
      <c r="G418" s="208"/>
      <c r="H418" s="210"/>
      <c r="I418" s="208"/>
      <c r="J418" s="208"/>
      <c r="K418" s="208"/>
      <c r="L418" s="208"/>
      <c r="M418" s="208"/>
      <c r="N418" s="267"/>
      <c r="O418" s="150"/>
      <c r="P418" s="48"/>
      <c r="Q418" s="37"/>
      <c r="R418" s="37"/>
      <c r="S418" s="37"/>
      <c r="T418" s="37"/>
      <c r="U418" s="37"/>
      <c r="V418" s="37"/>
      <c r="W418" s="37"/>
      <c r="X418" s="37"/>
      <c r="Y418" s="37"/>
      <c r="Z418" s="48"/>
      <c r="AA418" s="6"/>
      <c r="AB418" s="1"/>
      <c r="AC418" s="1"/>
      <c r="AD418" s="1"/>
      <c r="AE418" s="1"/>
      <c r="AF418" s="1"/>
      <c r="AG418" s="1"/>
      <c r="AH418" s="1"/>
      <c r="AI418" s="1"/>
      <c r="AJ418" s="1"/>
      <c r="AK418" s="1"/>
    </row>
    <row r="419" spans="1:37" ht="15.75">
      <c r="A419" s="208"/>
      <c r="B419" s="208"/>
      <c r="C419" s="208"/>
      <c r="D419" s="208"/>
      <c r="E419" s="208"/>
      <c r="F419" s="208"/>
      <c r="G419" s="208"/>
      <c r="H419" s="210"/>
      <c r="I419" s="208"/>
      <c r="J419" s="208"/>
      <c r="K419" s="208"/>
      <c r="L419" s="208"/>
      <c r="M419" s="208"/>
      <c r="N419" s="267"/>
      <c r="O419" s="150"/>
      <c r="P419" s="48"/>
      <c r="Q419" s="37"/>
      <c r="R419" s="37"/>
      <c r="S419" s="37"/>
      <c r="T419" s="37"/>
      <c r="U419" s="37"/>
      <c r="V419" s="37"/>
      <c r="W419" s="37"/>
      <c r="X419" s="37"/>
      <c r="Y419" s="37"/>
      <c r="Z419" s="48"/>
      <c r="AA419" s="6"/>
      <c r="AB419" s="1"/>
      <c r="AC419" s="1"/>
      <c r="AD419" s="1"/>
      <c r="AE419" s="1"/>
      <c r="AF419" s="1"/>
      <c r="AG419" s="1"/>
      <c r="AH419" s="1"/>
      <c r="AI419" s="1"/>
      <c r="AJ419" s="1"/>
      <c r="AK419" s="1"/>
    </row>
    <row r="420" spans="1:37" ht="15.75">
      <c r="A420" s="208"/>
      <c r="B420" s="208"/>
      <c r="C420" s="208"/>
      <c r="D420" s="208"/>
      <c r="E420" s="208"/>
      <c r="F420" s="208"/>
      <c r="G420" s="208"/>
      <c r="H420" s="210"/>
      <c r="I420" s="208"/>
      <c r="J420" s="208"/>
      <c r="K420" s="208"/>
      <c r="L420" s="208"/>
      <c r="M420" s="208"/>
      <c r="N420" s="267"/>
      <c r="O420" s="150"/>
      <c r="P420" s="48"/>
      <c r="Q420" s="37"/>
      <c r="R420" s="37"/>
      <c r="S420" s="37"/>
      <c r="T420" s="37"/>
      <c r="U420" s="37"/>
      <c r="V420" s="37"/>
      <c r="W420" s="37"/>
      <c r="X420" s="37"/>
      <c r="Y420" s="37"/>
      <c r="Z420" s="48"/>
      <c r="AA420" s="6"/>
      <c r="AB420" s="1"/>
      <c r="AC420" s="1"/>
      <c r="AD420" s="1"/>
      <c r="AE420" s="1"/>
      <c r="AF420" s="1"/>
      <c r="AG420" s="1"/>
      <c r="AH420" s="1"/>
      <c r="AI420" s="1"/>
      <c r="AJ420" s="1"/>
      <c r="AK420" s="1"/>
    </row>
    <row r="421" spans="1:37" ht="15.75">
      <c r="A421" s="208"/>
      <c r="B421" s="208"/>
      <c r="C421" s="208"/>
      <c r="D421" s="208"/>
      <c r="E421" s="208"/>
      <c r="F421" s="208"/>
      <c r="G421" s="208"/>
      <c r="H421" s="210"/>
      <c r="I421" s="208"/>
      <c r="J421" s="208"/>
      <c r="K421" s="208"/>
      <c r="L421" s="208"/>
      <c r="M421" s="208"/>
      <c r="N421" s="267"/>
      <c r="O421" s="150"/>
      <c r="P421" s="48"/>
      <c r="Q421" s="37"/>
      <c r="R421" s="37"/>
      <c r="S421" s="37"/>
      <c r="T421" s="37"/>
      <c r="U421" s="37"/>
      <c r="V421" s="37"/>
      <c r="W421" s="37"/>
      <c r="X421" s="37"/>
      <c r="Y421" s="37"/>
      <c r="Z421" s="48"/>
      <c r="AA421" s="6"/>
      <c r="AB421" s="1"/>
      <c r="AC421" s="1"/>
      <c r="AD421" s="1"/>
      <c r="AE421" s="1"/>
      <c r="AF421" s="1"/>
      <c r="AG421" s="1"/>
      <c r="AH421" s="1"/>
      <c r="AI421" s="1"/>
      <c r="AJ421" s="1"/>
      <c r="AK421" s="1"/>
    </row>
    <row r="422" spans="1:37" ht="10.5" customHeight="1">
      <c r="A422" s="208"/>
      <c r="B422" s="208"/>
      <c r="C422" s="208"/>
      <c r="D422" s="208"/>
      <c r="E422" s="208"/>
      <c r="F422" s="208"/>
      <c r="G422" s="208"/>
      <c r="H422" s="210"/>
      <c r="I422" s="208"/>
      <c r="J422" s="208"/>
      <c r="K422" s="208"/>
      <c r="L422" s="208"/>
      <c r="M422" s="208"/>
      <c r="N422" s="267"/>
      <c r="O422" s="150"/>
      <c r="P422" s="48"/>
      <c r="Q422" s="37"/>
      <c r="R422" s="37"/>
      <c r="S422" s="37"/>
      <c r="T422" s="37"/>
      <c r="U422" s="37"/>
      <c r="V422" s="37"/>
      <c r="W422" s="37"/>
      <c r="X422" s="37"/>
      <c r="Y422" s="37"/>
      <c r="Z422" s="48"/>
      <c r="AA422" s="6"/>
      <c r="AB422" s="1"/>
      <c r="AC422" s="1"/>
      <c r="AD422" s="1"/>
      <c r="AE422" s="1"/>
      <c r="AF422" s="1"/>
      <c r="AG422" s="1"/>
      <c r="AH422" s="1"/>
      <c r="AI422" s="1"/>
      <c r="AJ422" s="1"/>
      <c r="AK422" s="1"/>
    </row>
    <row r="423" spans="1:37" ht="15.75" customHeight="1">
      <c r="A423" s="208"/>
      <c r="B423" s="208"/>
      <c r="C423" s="208"/>
      <c r="D423" s="208"/>
      <c r="E423" s="208"/>
      <c r="F423" s="208"/>
      <c r="G423" s="208"/>
      <c r="H423" s="210"/>
      <c r="I423" s="208"/>
      <c r="J423" s="208"/>
      <c r="K423" s="208"/>
      <c r="L423" s="208"/>
      <c r="M423" s="208"/>
      <c r="N423" s="237"/>
      <c r="O423" s="150"/>
      <c r="P423" s="48"/>
      <c r="Q423" s="37"/>
      <c r="R423" s="37"/>
      <c r="S423" s="37"/>
      <c r="T423" s="37"/>
      <c r="U423" s="37"/>
      <c r="V423" s="37"/>
      <c r="W423" s="37"/>
      <c r="X423" s="37"/>
      <c r="Y423" s="37"/>
      <c r="Z423" s="48"/>
      <c r="AA423" s="6"/>
      <c r="AB423" s="1"/>
      <c r="AC423" s="1"/>
      <c r="AD423" s="1"/>
      <c r="AE423" s="1"/>
      <c r="AF423" s="1"/>
      <c r="AG423" s="1"/>
      <c r="AH423" s="1"/>
      <c r="AI423" s="1"/>
      <c r="AJ423" s="1"/>
      <c r="AK423" s="1"/>
    </row>
    <row r="424" spans="1:37" ht="18" customHeight="1">
      <c r="A424" s="208"/>
      <c r="B424" s="208"/>
      <c r="C424" s="208"/>
      <c r="D424" s="208"/>
      <c r="E424" s="208"/>
      <c r="F424" s="208"/>
      <c r="G424" s="208"/>
      <c r="H424" s="210"/>
      <c r="I424" s="208"/>
      <c r="J424" s="208"/>
      <c r="K424" s="208"/>
      <c r="L424" s="208"/>
      <c r="M424" s="208"/>
      <c r="N424" s="269"/>
      <c r="O424" s="150"/>
      <c r="P424" s="6"/>
      <c r="Z424" s="6"/>
      <c r="AA424" s="6"/>
      <c r="AB424" s="1"/>
      <c r="AC424" s="1"/>
      <c r="AD424" s="1"/>
      <c r="AE424" s="1"/>
      <c r="AF424" s="1"/>
      <c r="AG424" s="1"/>
      <c r="AH424" s="1"/>
      <c r="AI424" s="1"/>
      <c r="AJ424" s="1"/>
      <c r="AK424" s="1"/>
    </row>
    <row r="425" spans="1:37" ht="18" customHeight="1">
      <c r="A425" s="208"/>
      <c r="B425" s="208"/>
      <c r="C425" s="208"/>
      <c r="D425" s="208"/>
      <c r="E425" s="208"/>
      <c r="F425" s="208"/>
      <c r="G425" s="208"/>
      <c r="H425" s="210"/>
      <c r="I425" s="208"/>
      <c r="J425" s="208"/>
      <c r="K425" s="208"/>
      <c r="L425" s="208"/>
      <c r="M425" s="208"/>
      <c r="N425" s="237"/>
      <c r="O425" s="150"/>
      <c r="P425" s="6"/>
      <c r="Z425" s="6"/>
      <c r="AA425" s="6"/>
      <c r="AB425" s="1"/>
      <c r="AC425" s="1"/>
      <c r="AD425" s="1"/>
      <c r="AE425" s="1"/>
      <c r="AF425" s="1"/>
      <c r="AG425" s="1"/>
      <c r="AH425" s="1"/>
      <c r="AI425" s="1"/>
      <c r="AJ425" s="1"/>
      <c r="AK425" s="1"/>
    </row>
    <row r="426" spans="1:37" ht="18" customHeight="1">
      <c r="A426" s="208"/>
      <c r="B426" s="208"/>
      <c r="C426" s="208"/>
      <c r="D426" s="208"/>
      <c r="E426" s="208"/>
      <c r="F426" s="208"/>
      <c r="G426" s="208"/>
      <c r="H426" s="210"/>
      <c r="I426" s="208"/>
      <c r="J426" s="208"/>
      <c r="K426" s="208"/>
      <c r="L426" s="208"/>
      <c r="M426" s="208"/>
      <c r="N426" s="237"/>
      <c r="O426" s="150"/>
      <c r="P426" s="6"/>
      <c r="Z426" s="6"/>
      <c r="AA426" s="6"/>
      <c r="AB426" s="1"/>
      <c r="AC426" s="1"/>
      <c r="AD426" s="1"/>
      <c r="AE426" s="1"/>
      <c r="AF426" s="1"/>
      <c r="AG426" s="1"/>
      <c r="AH426" s="1"/>
      <c r="AI426" s="1"/>
      <c r="AJ426" s="1"/>
      <c r="AK426" s="1"/>
    </row>
    <row r="427" spans="1:37" ht="14.25" customHeight="1">
      <c r="A427" s="208"/>
      <c r="B427" s="208"/>
      <c r="C427" s="208"/>
      <c r="D427" s="208"/>
      <c r="E427" s="208"/>
      <c r="F427" s="208"/>
      <c r="G427" s="208"/>
      <c r="H427" s="210"/>
      <c r="I427" s="208"/>
      <c r="J427" s="208"/>
      <c r="K427" s="208"/>
      <c r="L427" s="208"/>
      <c r="M427" s="208"/>
      <c r="N427" s="237"/>
      <c r="O427" s="150"/>
      <c r="P427" s="6"/>
      <c r="Z427" s="6"/>
      <c r="AA427" s="6"/>
      <c r="AB427" s="1"/>
      <c r="AC427" s="1"/>
      <c r="AD427" s="1"/>
      <c r="AE427" s="1"/>
      <c r="AF427" s="1"/>
      <c r="AG427" s="1"/>
      <c r="AH427" s="1"/>
      <c r="AI427" s="1"/>
      <c r="AJ427" s="1"/>
      <c r="AK427" s="1"/>
    </row>
    <row r="428" spans="1:37" ht="18" customHeight="1">
      <c r="A428" s="208"/>
      <c r="B428" s="208"/>
      <c r="C428" s="208"/>
      <c r="D428" s="208"/>
      <c r="E428" s="208"/>
      <c r="F428" s="208"/>
      <c r="G428" s="208"/>
      <c r="H428" s="210"/>
      <c r="I428" s="208"/>
      <c r="J428" s="208"/>
      <c r="K428" s="208"/>
      <c r="L428" s="208"/>
      <c r="M428" s="208"/>
      <c r="N428" s="265"/>
      <c r="O428" s="150"/>
      <c r="P428" s="6"/>
      <c r="Z428" s="6"/>
      <c r="AA428" s="6"/>
      <c r="AB428" s="1"/>
      <c r="AC428" s="1"/>
      <c r="AD428" s="1"/>
      <c r="AE428" s="1"/>
      <c r="AF428" s="1"/>
      <c r="AG428" s="1"/>
      <c r="AH428" s="1"/>
      <c r="AI428" s="1"/>
      <c r="AJ428" s="1"/>
      <c r="AK428" s="1"/>
    </row>
    <row r="429" spans="1:37" ht="18" customHeight="1">
      <c r="A429" s="208"/>
      <c r="B429" s="208"/>
      <c r="C429" s="208"/>
      <c r="D429" s="208"/>
      <c r="E429" s="208"/>
      <c r="F429" s="208"/>
      <c r="G429" s="208"/>
      <c r="H429" s="210"/>
      <c r="I429" s="208"/>
      <c r="J429" s="208"/>
      <c r="K429" s="208"/>
      <c r="L429" s="208"/>
      <c r="M429" s="208"/>
      <c r="N429" s="270"/>
      <c r="O429" s="150"/>
      <c r="P429" s="6"/>
      <c r="Z429" s="6"/>
      <c r="AA429" s="6"/>
      <c r="AB429" s="1"/>
      <c r="AC429" s="1"/>
      <c r="AD429" s="1"/>
      <c r="AE429" s="1"/>
      <c r="AF429" s="1"/>
      <c r="AG429" s="1"/>
      <c r="AH429" s="1"/>
      <c r="AI429" s="1"/>
      <c r="AJ429" s="1"/>
      <c r="AK429" s="1"/>
    </row>
    <row r="430" spans="1:37" ht="18" customHeight="1">
      <c r="A430" s="208"/>
      <c r="B430" s="208"/>
      <c r="C430" s="208"/>
      <c r="D430" s="208"/>
      <c r="E430" s="208"/>
      <c r="F430" s="208"/>
      <c r="G430" s="208"/>
      <c r="H430" s="210"/>
      <c r="I430" s="208"/>
      <c r="J430" s="208"/>
      <c r="K430" s="208"/>
      <c r="L430" s="208"/>
      <c r="M430" s="208"/>
      <c r="N430" s="270"/>
      <c r="O430" s="150"/>
      <c r="P430" s="6"/>
      <c r="Z430" s="6"/>
      <c r="AA430" s="6"/>
      <c r="AB430" s="1"/>
      <c r="AC430" s="1"/>
      <c r="AD430" s="1"/>
      <c r="AE430" s="1"/>
      <c r="AF430" s="1"/>
      <c r="AG430" s="1"/>
      <c r="AH430" s="1"/>
      <c r="AI430" s="1"/>
      <c r="AJ430" s="1"/>
      <c r="AK430" s="1"/>
    </row>
    <row r="431" spans="1:37" ht="18" customHeight="1">
      <c r="A431" s="208"/>
      <c r="B431" s="208"/>
      <c r="C431" s="208"/>
      <c r="D431" s="208"/>
      <c r="E431" s="208"/>
      <c r="F431" s="208"/>
      <c r="G431" s="208"/>
      <c r="H431" s="210"/>
      <c r="I431" s="208"/>
      <c r="J431" s="208"/>
      <c r="K431" s="208"/>
      <c r="L431" s="208"/>
      <c r="M431" s="208"/>
      <c r="N431" s="270"/>
      <c r="O431" s="150"/>
      <c r="P431" s="6"/>
      <c r="Z431" s="6"/>
      <c r="AA431" s="6"/>
      <c r="AB431" s="1"/>
      <c r="AC431" s="1"/>
      <c r="AD431" s="1"/>
      <c r="AE431" s="1"/>
      <c r="AF431" s="1"/>
      <c r="AG431" s="1"/>
      <c r="AH431" s="1"/>
      <c r="AI431" s="1"/>
      <c r="AJ431" s="1"/>
      <c r="AK431" s="1"/>
    </row>
    <row r="432" spans="1:37" ht="18" customHeight="1">
      <c r="A432" s="208"/>
      <c r="B432" s="208"/>
      <c r="C432" s="208"/>
      <c r="D432" s="208"/>
      <c r="E432" s="208"/>
      <c r="F432" s="208"/>
      <c r="G432" s="208"/>
      <c r="H432" s="210"/>
      <c r="I432" s="208"/>
      <c r="J432" s="208"/>
      <c r="K432" s="208"/>
      <c r="L432" s="208"/>
      <c r="M432" s="208"/>
      <c r="N432" s="270"/>
      <c r="O432" s="150"/>
      <c r="P432" s="6"/>
      <c r="Z432" s="6"/>
      <c r="AA432" s="6"/>
      <c r="AB432" s="1"/>
      <c r="AC432" s="1"/>
      <c r="AD432" s="1"/>
      <c r="AE432" s="1"/>
      <c r="AF432" s="1"/>
      <c r="AG432" s="1"/>
      <c r="AH432" s="1"/>
      <c r="AI432" s="1"/>
      <c r="AJ432" s="1"/>
      <c r="AK432" s="1"/>
    </row>
    <row r="433" spans="1:37" ht="18" customHeight="1">
      <c r="A433" s="208"/>
      <c r="B433" s="208"/>
      <c r="C433" s="208"/>
      <c r="D433" s="208"/>
      <c r="E433" s="208"/>
      <c r="F433" s="208"/>
      <c r="G433" s="208"/>
      <c r="H433" s="210"/>
      <c r="I433" s="208"/>
      <c r="J433" s="208"/>
      <c r="K433" s="208"/>
      <c r="L433" s="208"/>
      <c r="M433" s="208"/>
      <c r="N433" s="270"/>
      <c r="O433" s="150"/>
      <c r="P433" s="6"/>
      <c r="Z433" s="6"/>
      <c r="AA433" s="6"/>
      <c r="AB433" s="1"/>
      <c r="AC433" s="1"/>
      <c r="AD433" s="1"/>
      <c r="AE433" s="1"/>
      <c r="AF433" s="1"/>
      <c r="AG433" s="1"/>
      <c r="AH433" s="1"/>
      <c r="AI433" s="1"/>
      <c r="AJ433" s="1"/>
      <c r="AK433" s="1"/>
    </row>
    <row r="434" spans="1:37" ht="18" customHeight="1">
      <c r="A434" s="208"/>
      <c r="B434" s="208"/>
      <c r="C434" s="208"/>
      <c r="D434" s="208"/>
      <c r="E434" s="208"/>
      <c r="F434" s="208"/>
      <c r="G434" s="208"/>
      <c r="H434" s="210"/>
      <c r="I434" s="208"/>
      <c r="J434" s="208"/>
      <c r="K434" s="208"/>
      <c r="L434" s="208"/>
      <c r="M434" s="208"/>
      <c r="N434" s="270"/>
      <c r="O434" s="150"/>
      <c r="Z434" s="6"/>
      <c r="AA434" s="6"/>
      <c r="AB434" s="1"/>
      <c r="AC434" s="1"/>
      <c r="AD434" s="1"/>
      <c r="AE434" s="1"/>
      <c r="AF434" s="1"/>
      <c r="AG434" s="1"/>
      <c r="AH434" s="1"/>
      <c r="AI434" s="1"/>
      <c r="AJ434" s="1"/>
      <c r="AK434" s="1"/>
    </row>
    <row r="435" spans="1:37" ht="18" customHeight="1">
      <c r="A435" s="208"/>
      <c r="B435" s="208"/>
      <c r="C435" s="208"/>
      <c r="D435" s="208"/>
      <c r="E435" s="208"/>
      <c r="F435" s="208"/>
      <c r="G435" s="208"/>
      <c r="H435" s="210"/>
      <c r="I435" s="208"/>
      <c r="J435" s="208"/>
      <c r="K435" s="208"/>
      <c r="L435" s="208"/>
      <c r="M435" s="208"/>
      <c r="N435" s="270"/>
      <c r="O435" s="150"/>
      <c r="Z435" s="6"/>
      <c r="AA435" s="6"/>
      <c r="AB435" s="1"/>
      <c r="AC435" s="1"/>
      <c r="AD435" s="1"/>
      <c r="AE435" s="1"/>
      <c r="AF435" s="1"/>
      <c r="AG435" s="1"/>
      <c r="AH435" s="1"/>
      <c r="AI435" s="1"/>
      <c r="AJ435" s="1"/>
      <c r="AK435" s="1"/>
    </row>
    <row r="436" spans="1:37" ht="18" customHeight="1">
      <c r="A436" s="208"/>
      <c r="B436" s="208"/>
      <c r="C436" s="208"/>
      <c r="D436" s="208"/>
      <c r="E436" s="208"/>
      <c r="F436" s="208"/>
      <c r="G436" s="208"/>
      <c r="H436" s="210"/>
      <c r="I436" s="208"/>
      <c r="J436" s="208"/>
      <c r="K436" s="208"/>
      <c r="L436" s="208"/>
      <c r="M436" s="208"/>
      <c r="N436" s="270"/>
      <c r="O436" s="150"/>
      <c r="Z436" s="6"/>
      <c r="AA436" s="6"/>
      <c r="AB436" s="1"/>
      <c r="AC436" s="1"/>
      <c r="AD436" s="1"/>
      <c r="AE436" s="1"/>
      <c r="AF436" s="1"/>
      <c r="AG436" s="1"/>
      <c r="AH436" s="1"/>
      <c r="AI436" s="1"/>
      <c r="AJ436" s="1"/>
      <c r="AK436" s="1"/>
    </row>
    <row r="437" spans="1:37" ht="18" customHeight="1">
      <c r="A437" s="208"/>
      <c r="B437" s="208"/>
      <c r="C437" s="208"/>
      <c r="D437" s="208"/>
      <c r="E437" s="208"/>
      <c r="F437" s="208"/>
      <c r="G437" s="208"/>
      <c r="H437" s="210"/>
      <c r="I437" s="208"/>
      <c r="J437" s="208"/>
      <c r="K437" s="208"/>
      <c r="L437" s="208"/>
      <c r="M437" s="208"/>
      <c r="N437" s="270"/>
      <c r="O437" s="150"/>
      <c r="Z437" s="6"/>
      <c r="AA437" s="6"/>
      <c r="AB437" s="1"/>
      <c r="AC437" s="1"/>
      <c r="AD437" s="1"/>
      <c r="AE437" s="1"/>
      <c r="AF437" s="1"/>
      <c r="AG437" s="1"/>
      <c r="AH437" s="1"/>
      <c r="AI437" s="1">
        <f>AH439</f>
        <v>0</v>
      </c>
      <c r="AJ437" s="1"/>
      <c r="AK437" s="1"/>
    </row>
    <row r="438" spans="1:37" ht="18" customHeight="1">
      <c r="A438" s="208"/>
      <c r="B438" s="208"/>
      <c r="C438" s="208"/>
      <c r="D438" s="208"/>
      <c r="E438" s="208"/>
      <c r="F438" s="208"/>
      <c r="G438" s="208"/>
      <c r="H438" s="210"/>
      <c r="I438" s="208"/>
      <c r="J438" s="208"/>
      <c r="K438" s="208"/>
      <c r="L438" s="208"/>
      <c r="M438" s="208"/>
      <c r="N438" s="270"/>
      <c r="O438" s="150"/>
      <c r="Z438" s="6"/>
      <c r="AA438" s="6"/>
      <c r="AB438" s="1"/>
      <c r="AC438" s="1"/>
      <c r="AD438" s="1"/>
      <c r="AE438" s="1"/>
      <c r="AF438" s="1"/>
      <c r="AG438" s="1"/>
      <c r="AH438" s="1"/>
      <c r="AI438" s="1">
        <f>AH440</f>
        <v>0</v>
      </c>
      <c r="AJ438" s="1"/>
      <c r="AK438" s="1"/>
    </row>
    <row r="439" spans="1:37" ht="18" customHeight="1">
      <c r="A439" s="208"/>
      <c r="B439" s="208"/>
      <c r="C439" s="208"/>
      <c r="D439" s="208"/>
      <c r="E439" s="208"/>
      <c r="F439" s="208"/>
      <c r="G439" s="208"/>
      <c r="H439" s="210"/>
      <c r="I439" s="208"/>
      <c r="J439" s="208"/>
      <c r="K439" s="208"/>
      <c r="L439" s="208"/>
      <c r="M439" s="208"/>
      <c r="N439" s="270"/>
      <c r="O439" s="150"/>
      <c r="Z439" s="6"/>
      <c r="AA439" s="6"/>
      <c r="AB439" s="1"/>
      <c r="AC439" s="1"/>
      <c r="AD439" s="1"/>
      <c r="AE439" s="1"/>
      <c r="AF439" s="1"/>
      <c r="AG439" s="1"/>
      <c r="AH439" s="1"/>
      <c r="AI439" s="1"/>
      <c r="AJ439" s="1"/>
      <c r="AK439" s="1"/>
    </row>
    <row r="440" spans="1:37" ht="18" customHeight="1">
      <c r="A440" s="208"/>
      <c r="B440" s="208"/>
      <c r="C440" s="208"/>
      <c r="D440" s="208"/>
      <c r="E440" s="208"/>
      <c r="F440" s="208"/>
      <c r="G440" s="208"/>
      <c r="H440" s="210"/>
      <c r="I440" s="208"/>
      <c r="J440" s="208"/>
      <c r="K440" s="208"/>
      <c r="L440" s="208"/>
      <c r="M440" s="208"/>
      <c r="N440" s="270"/>
      <c r="O440" s="150"/>
      <c r="Z440" s="6"/>
      <c r="AA440" s="6"/>
      <c r="AB440" s="1"/>
      <c r="AC440" s="1"/>
      <c r="AD440" s="1"/>
      <c r="AE440" s="1"/>
      <c r="AF440" s="1"/>
      <c r="AG440" s="1"/>
      <c r="AH440" s="1"/>
      <c r="AI440" s="1"/>
      <c r="AJ440" s="1"/>
      <c r="AK440" s="1"/>
    </row>
    <row r="441" spans="1:37" ht="18" customHeight="1">
      <c r="A441" s="208"/>
      <c r="B441" s="208"/>
      <c r="C441" s="208"/>
      <c r="D441" s="208"/>
      <c r="E441" s="208"/>
      <c r="F441" s="208"/>
      <c r="G441" s="208"/>
      <c r="H441" s="210"/>
      <c r="I441" s="208"/>
      <c r="J441" s="208"/>
      <c r="K441" s="208"/>
      <c r="L441" s="208"/>
      <c r="M441" s="208"/>
      <c r="N441" s="270"/>
      <c r="O441" s="150"/>
      <c r="Z441" s="6"/>
      <c r="AA441" s="6"/>
      <c r="AB441" s="1"/>
      <c r="AC441" s="1"/>
      <c r="AD441" s="1"/>
      <c r="AE441" s="1"/>
      <c r="AF441" s="1"/>
      <c r="AG441" s="1"/>
      <c r="AH441" s="1"/>
      <c r="AI441" s="1"/>
      <c r="AJ441" s="1"/>
      <c r="AK441" s="1"/>
    </row>
    <row r="442" spans="1:37" ht="18" customHeight="1">
      <c r="A442" s="208"/>
      <c r="B442" s="208"/>
      <c r="C442" s="208"/>
      <c r="D442" s="208"/>
      <c r="E442" s="208"/>
      <c r="F442" s="208"/>
      <c r="G442" s="208"/>
      <c r="H442" s="210"/>
      <c r="I442" s="208"/>
      <c r="J442" s="208"/>
      <c r="K442" s="208"/>
      <c r="L442" s="208"/>
      <c r="M442" s="208"/>
      <c r="N442" s="270"/>
      <c r="O442" s="150"/>
      <c r="Z442" s="6"/>
      <c r="AA442" s="6"/>
      <c r="AB442" s="1"/>
      <c r="AC442" s="1"/>
      <c r="AD442" s="1"/>
      <c r="AE442" s="1"/>
      <c r="AF442" s="1"/>
      <c r="AG442" s="1"/>
      <c r="AH442" s="1"/>
      <c r="AI442" s="1"/>
      <c r="AJ442" s="1"/>
      <c r="AK442" s="1"/>
    </row>
    <row r="443" spans="1:37" ht="18" customHeight="1">
      <c r="A443" s="208"/>
      <c r="B443" s="208"/>
      <c r="C443" s="208"/>
      <c r="D443" s="208"/>
      <c r="E443" s="208"/>
      <c r="F443" s="208"/>
      <c r="G443" s="208"/>
      <c r="H443" s="210"/>
      <c r="I443" s="208"/>
      <c r="J443" s="208"/>
      <c r="K443" s="208"/>
      <c r="L443" s="208"/>
      <c r="M443" s="208"/>
      <c r="N443" s="270"/>
      <c r="O443" s="150"/>
      <c r="Z443" s="6"/>
      <c r="AA443" s="6"/>
      <c r="AB443" s="1"/>
      <c r="AC443" s="1"/>
      <c r="AD443" s="1"/>
      <c r="AE443" s="1"/>
      <c r="AF443" s="1"/>
      <c r="AG443" s="1"/>
      <c r="AH443" s="1"/>
      <c r="AI443" s="1"/>
      <c r="AJ443" s="1"/>
      <c r="AK443" s="1"/>
    </row>
    <row r="444" spans="1:37" ht="18" customHeight="1">
      <c r="A444" s="208"/>
      <c r="B444" s="208"/>
      <c r="C444" s="208"/>
      <c r="D444" s="208"/>
      <c r="E444" s="208"/>
      <c r="F444" s="208"/>
      <c r="G444" s="208"/>
      <c r="H444" s="210"/>
      <c r="I444" s="208"/>
      <c r="J444" s="208"/>
      <c r="K444" s="208"/>
      <c r="L444" s="208"/>
      <c r="M444" s="208"/>
      <c r="N444" s="271"/>
      <c r="O444" s="150"/>
      <c r="Z444" s="6"/>
      <c r="AA444" s="6"/>
      <c r="AB444" s="1"/>
      <c r="AC444" s="1"/>
      <c r="AD444" s="1"/>
      <c r="AE444" s="1"/>
      <c r="AF444" s="1"/>
      <c r="AG444" s="1"/>
      <c r="AH444" s="1"/>
      <c r="AI444" s="1"/>
      <c r="AJ444" s="1"/>
      <c r="AK444" s="1"/>
    </row>
    <row r="445" spans="1:37" ht="18" customHeight="1">
      <c r="A445" s="208"/>
      <c r="B445" s="208"/>
      <c r="C445" s="208"/>
      <c r="D445" s="208"/>
      <c r="E445" s="208"/>
      <c r="F445" s="208"/>
      <c r="G445" s="208"/>
      <c r="H445" s="210"/>
      <c r="I445" s="208"/>
      <c r="J445" s="208"/>
      <c r="K445" s="208"/>
      <c r="L445" s="208"/>
      <c r="M445" s="208"/>
      <c r="N445" s="270"/>
      <c r="O445" s="150"/>
      <c r="Z445" s="6"/>
      <c r="AA445" s="6"/>
      <c r="AB445" s="1"/>
      <c r="AC445" s="1"/>
      <c r="AD445" s="1"/>
      <c r="AE445" s="1"/>
      <c r="AF445" s="1"/>
      <c r="AG445" s="1"/>
      <c r="AH445" s="1"/>
      <c r="AI445" s="1"/>
      <c r="AJ445" s="1"/>
      <c r="AK445" s="1"/>
    </row>
    <row r="446" spans="1:37" ht="18" customHeight="1">
      <c r="A446" s="208"/>
      <c r="B446" s="208"/>
      <c r="C446" s="208"/>
      <c r="D446" s="208"/>
      <c r="E446" s="208"/>
      <c r="F446" s="208"/>
      <c r="G446" s="208"/>
      <c r="H446" s="210"/>
      <c r="I446" s="208"/>
      <c r="J446" s="208"/>
      <c r="K446" s="208"/>
      <c r="L446" s="208"/>
      <c r="M446" s="208"/>
      <c r="N446" s="270"/>
      <c r="O446" s="150"/>
      <c r="Z446" s="6"/>
      <c r="AA446" s="6"/>
      <c r="AB446" s="1"/>
      <c r="AC446" s="1"/>
      <c r="AD446" s="1"/>
      <c r="AE446" s="1"/>
      <c r="AF446" s="1"/>
      <c r="AG446" s="1"/>
      <c r="AH446" s="1"/>
      <c r="AI446" s="1"/>
      <c r="AJ446" s="1"/>
      <c r="AK446" s="1"/>
    </row>
    <row r="447" spans="1:37" ht="18" customHeight="1">
      <c r="A447" s="208"/>
      <c r="B447" s="208"/>
      <c r="C447" s="208"/>
      <c r="D447" s="208"/>
      <c r="E447" s="208"/>
      <c r="F447" s="208"/>
      <c r="G447" s="208"/>
      <c r="H447" s="210"/>
      <c r="I447" s="208"/>
      <c r="J447" s="208"/>
      <c r="K447" s="208"/>
      <c r="L447" s="208"/>
      <c r="M447" s="208"/>
      <c r="N447" s="270"/>
      <c r="O447" s="150"/>
      <c r="Z447" s="6"/>
      <c r="AA447" s="6"/>
      <c r="AB447" s="1"/>
      <c r="AC447" s="1"/>
      <c r="AD447" s="1"/>
      <c r="AE447" s="1"/>
      <c r="AF447" s="1"/>
      <c r="AG447" s="1"/>
      <c r="AH447" s="1"/>
      <c r="AI447" s="1"/>
      <c r="AJ447" s="1"/>
      <c r="AK447" s="1"/>
    </row>
    <row r="448" spans="1:37" ht="18" customHeight="1">
      <c r="A448" s="208"/>
      <c r="B448" s="208"/>
      <c r="C448" s="208"/>
      <c r="D448" s="208"/>
      <c r="E448" s="208"/>
      <c r="F448" s="208"/>
      <c r="G448" s="208"/>
      <c r="H448" s="210"/>
      <c r="I448" s="208"/>
      <c r="J448" s="208"/>
      <c r="K448" s="208"/>
      <c r="L448" s="208"/>
      <c r="M448" s="208"/>
      <c r="N448" s="270"/>
      <c r="O448" s="150"/>
      <c r="Z448" s="6"/>
      <c r="AA448" s="6"/>
      <c r="AB448" s="1"/>
      <c r="AC448" s="1"/>
      <c r="AD448" s="1"/>
      <c r="AE448" s="1"/>
      <c r="AF448" s="1"/>
      <c r="AG448" s="1"/>
      <c r="AH448" s="1"/>
      <c r="AI448" s="1"/>
      <c r="AJ448" s="1"/>
      <c r="AK448" s="1"/>
    </row>
    <row r="449" spans="1:37" ht="18" customHeight="1">
      <c r="A449" s="208"/>
      <c r="B449" s="208"/>
      <c r="C449" s="208"/>
      <c r="D449" s="208"/>
      <c r="E449" s="208"/>
      <c r="F449" s="208"/>
      <c r="G449" s="208"/>
      <c r="H449" s="210"/>
      <c r="I449" s="208"/>
      <c r="J449" s="208"/>
      <c r="K449" s="208"/>
      <c r="L449" s="208"/>
      <c r="M449" s="208"/>
      <c r="N449" s="270"/>
      <c r="O449" s="150"/>
      <c r="Z449" s="6"/>
      <c r="AA449" s="6"/>
      <c r="AB449" s="1"/>
      <c r="AC449" s="1"/>
      <c r="AD449" s="1"/>
      <c r="AE449" s="1"/>
      <c r="AF449" s="1"/>
      <c r="AG449" s="1"/>
      <c r="AH449" s="1"/>
      <c r="AI449" s="1"/>
      <c r="AJ449" s="1"/>
      <c r="AK449" s="1"/>
    </row>
    <row r="450" spans="1:37" ht="18" customHeight="1">
      <c r="A450" s="208"/>
      <c r="B450" s="208"/>
      <c r="C450" s="208"/>
      <c r="D450" s="208"/>
      <c r="E450" s="208"/>
      <c r="F450" s="208"/>
      <c r="G450" s="208"/>
      <c r="H450" s="210"/>
      <c r="I450" s="208"/>
      <c r="J450" s="208"/>
      <c r="K450" s="208"/>
      <c r="L450" s="208"/>
      <c r="M450" s="208"/>
      <c r="N450" s="272"/>
      <c r="O450" s="150"/>
      <c r="Z450" s="6"/>
      <c r="AA450" s="6"/>
      <c r="AB450" s="1"/>
      <c r="AC450" s="1"/>
      <c r="AD450" s="1"/>
      <c r="AE450" s="1"/>
      <c r="AF450" s="1"/>
      <c r="AG450" s="1"/>
      <c r="AH450" s="1"/>
      <c r="AI450" s="1"/>
      <c r="AJ450" s="1"/>
      <c r="AK450" s="1"/>
    </row>
    <row r="451" spans="1:37" ht="18" customHeight="1">
      <c r="A451" s="208"/>
      <c r="B451" s="208"/>
      <c r="C451" s="208"/>
      <c r="D451" s="208"/>
      <c r="E451" s="208"/>
      <c r="F451" s="208"/>
      <c r="G451" s="208"/>
      <c r="H451" s="210"/>
      <c r="I451" s="208"/>
      <c r="J451" s="208"/>
      <c r="K451" s="208"/>
      <c r="L451" s="208"/>
      <c r="M451" s="208"/>
      <c r="N451" s="270"/>
      <c r="O451" s="150"/>
      <c r="AB451" s="1"/>
      <c r="AC451" s="1"/>
      <c r="AD451" s="1"/>
      <c r="AE451" s="1"/>
      <c r="AF451" s="1"/>
      <c r="AG451" s="1"/>
      <c r="AH451" s="1"/>
      <c r="AI451" s="1"/>
      <c r="AJ451" s="1"/>
      <c r="AK451" s="1"/>
    </row>
    <row r="452" spans="1:37" ht="10.5" customHeight="1">
      <c r="A452" s="208"/>
      <c r="B452" s="208"/>
      <c r="C452" s="208"/>
      <c r="D452" s="208"/>
      <c r="E452" s="208"/>
      <c r="F452" s="208"/>
      <c r="G452" s="208"/>
      <c r="H452" s="210"/>
      <c r="I452" s="208"/>
      <c r="J452" s="208"/>
      <c r="K452" s="208"/>
      <c r="L452" s="208"/>
      <c r="M452" s="208"/>
      <c r="N452" s="270"/>
      <c r="O452" s="150"/>
      <c r="AB452" s="1"/>
      <c r="AC452" s="1"/>
      <c r="AD452" s="1"/>
      <c r="AE452" s="1"/>
      <c r="AF452" s="1"/>
      <c r="AG452" s="1"/>
      <c r="AH452" s="1"/>
      <c r="AI452" s="1"/>
      <c r="AJ452" s="1"/>
      <c r="AK452" s="1"/>
    </row>
    <row r="453" spans="1:37" ht="6.75" customHeight="1">
      <c r="A453" s="208"/>
      <c r="B453" s="208"/>
      <c r="C453" s="208"/>
      <c r="D453" s="208"/>
      <c r="E453" s="208"/>
      <c r="F453" s="208"/>
      <c r="G453" s="208"/>
      <c r="H453" s="210"/>
      <c r="I453" s="208"/>
      <c r="J453" s="208"/>
      <c r="K453" s="208"/>
      <c r="L453" s="208"/>
      <c r="M453" s="208"/>
      <c r="N453" s="270"/>
      <c r="O453" s="150"/>
      <c r="AB453" s="1"/>
      <c r="AC453" s="1"/>
      <c r="AD453" s="1"/>
      <c r="AE453" s="1"/>
      <c r="AF453" s="1"/>
      <c r="AG453" s="1"/>
      <c r="AH453" s="1"/>
      <c r="AI453" s="1"/>
      <c r="AJ453" s="1"/>
      <c r="AK453" s="1"/>
    </row>
    <row r="454" spans="1:37" ht="5.25" customHeight="1">
      <c r="A454" s="208"/>
      <c r="B454" s="208"/>
      <c r="C454" s="208"/>
      <c r="D454" s="208"/>
      <c r="E454" s="208"/>
      <c r="F454" s="208"/>
      <c r="G454" s="208"/>
      <c r="H454" s="210"/>
      <c r="I454" s="208"/>
      <c r="J454" s="208"/>
      <c r="K454" s="208"/>
      <c r="L454" s="208"/>
      <c r="M454" s="208"/>
      <c r="N454" s="273"/>
      <c r="O454" s="150"/>
      <c r="AB454" s="1"/>
      <c r="AC454" s="1"/>
      <c r="AD454" s="1"/>
      <c r="AE454" s="1"/>
      <c r="AF454" s="1"/>
      <c r="AG454" s="1"/>
      <c r="AH454" s="1"/>
      <c r="AI454" s="1"/>
      <c r="AJ454" s="1"/>
      <c r="AK454" s="1"/>
    </row>
    <row r="455" spans="1:37" ht="18.75" customHeight="1">
      <c r="A455" s="208"/>
      <c r="B455" s="208"/>
      <c r="C455" s="208"/>
      <c r="D455" s="208"/>
      <c r="E455" s="208"/>
      <c r="F455" s="208"/>
      <c r="G455" s="208"/>
      <c r="H455" s="210"/>
      <c r="I455" s="208"/>
      <c r="J455" s="208"/>
      <c r="K455" s="208"/>
      <c r="L455" s="208"/>
      <c r="M455" s="208"/>
      <c r="N455" s="273"/>
      <c r="O455" s="150"/>
      <c r="AB455" s="1"/>
      <c r="AC455" s="1"/>
      <c r="AD455" s="1"/>
      <c r="AE455" s="1"/>
      <c r="AF455" s="1"/>
      <c r="AG455" s="1"/>
      <c r="AH455" s="1"/>
      <c r="AI455" s="1"/>
      <c r="AJ455" s="1"/>
      <c r="AK455" s="1"/>
    </row>
    <row r="456" spans="1:37" ht="15" customHeight="1">
      <c r="A456" s="208"/>
      <c r="B456" s="208"/>
      <c r="C456" s="208"/>
      <c r="D456" s="208"/>
      <c r="E456" s="208"/>
      <c r="F456" s="208"/>
      <c r="G456" s="208"/>
      <c r="H456" s="210"/>
      <c r="I456" s="208"/>
      <c r="J456" s="208"/>
      <c r="K456" s="208"/>
      <c r="L456" s="208"/>
      <c r="M456" s="208"/>
      <c r="N456" s="273"/>
      <c r="O456" s="150"/>
      <c r="AB456" s="1"/>
      <c r="AC456" s="1"/>
      <c r="AD456" s="1"/>
      <c r="AE456" s="1"/>
      <c r="AF456" s="1"/>
      <c r="AG456" s="1"/>
      <c r="AH456" s="1"/>
      <c r="AI456" s="1"/>
      <c r="AJ456" s="1"/>
      <c r="AK456" s="1"/>
    </row>
    <row r="457" spans="1:37" ht="15" customHeight="1">
      <c r="A457" s="208"/>
      <c r="B457" s="208"/>
      <c r="C457" s="208"/>
      <c r="D457" s="208"/>
      <c r="E457" s="208"/>
      <c r="F457" s="208"/>
      <c r="G457" s="208"/>
      <c r="H457" s="210"/>
      <c r="I457" s="208"/>
      <c r="J457" s="208"/>
      <c r="K457" s="208"/>
      <c r="L457" s="208"/>
      <c r="M457" s="208"/>
      <c r="N457" s="273"/>
      <c r="O457" s="150"/>
      <c r="AB457" s="1"/>
      <c r="AC457" s="1"/>
      <c r="AD457" s="1"/>
      <c r="AE457" s="1"/>
      <c r="AF457" s="1"/>
      <c r="AG457" s="1"/>
      <c r="AH457" s="1"/>
      <c r="AI457" s="1"/>
      <c r="AJ457" s="1"/>
      <c r="AK457" s="1"/>
    </row>
    <row r="458" spans="1:37" ht="15" customHeight="1">
      <c r="A458" s="208"/>
      <c r="B458" s="208"/>
      <c r="C458" s="208"/>
      <c r="D458" s="208"/>
      <c r="E458" s="208"/>
      <c r="F458" s="208"/>
      <c r="G458" s="208"/>
      <c r="H458" s="210"/>
      <c r="I458" s="208"/>
      <c r="J458" s="208"/>
      <c r="K458" s="208"/>
      <c r="L458" s="208"/>
      <c r="M458" s="208"/>
      <c r="N458" s="273"/>
      <c r="O458" s="150"/>
      <c r="AB458" s="1"/>
      <c r="AC458" s="1"/>
      <c r="AD458" s="1"/>
      <c r="AE458" s="1"/>
      <c r="AF458" s="1"/>
      <c r="AG458" s="1"/>
      <c r="AH458" s="1"/>
      <c r="AI458" s="1"/>
      <c r="AJ458" s="1"/>
      <c r="AK458" s="1"/>
    </row>
    <row r="459" spans="1:37" ht="15" customHeight="1">
      <c r="A459" s="274"/>
      <c r="B459" s="274"/>
      <c r="C459" s="274"/>
      <c r="D459" s="274"/>
      <c r="E459" s="274"/>
      <c r="F459" s="274"/>
      <c r="G459" s="274"/>
      <c r="H459" s="275"/>
      <c r="I459" s="274"/>
      <c r="J459" s="274"/>
      <c r="K459" s="274"/>
      <c r="L459" s="274"/>
      <c r="M459" s="276"/>
      <c r="N459" s="277"/>
      <c r="O459" s="189"/>
      <c r="AB459" s="1"/>
      <c r="AC459" s="1"/>
      <c r="AD459" s="1"/>
      <c r="AE459" s="1"/>
      <c r="AF459" s="1"/>
      <c r="AG459" s="1"/>
      <c r="AH459" s="1"/>
      <c r="AI459" s="1"/>
      <c r="AJ459" s="1"/>
      <c r="AK459" s="1"/>
    </row>
    <row r="460" spans="1:37" ht="15" customHeight="1">
      <c r="A460" s="274"/>
      <c r="B460" s="274"/>
      <c r="C460" s="274"/>
      <c r="D460" s="274"/>
      <c r="E460" s="274"/>
      <c r="F460" s="274"/>
      <c r="G460" s="274"/>
      <c r="H460" s="275"/>
      <c r="I460" s="274"/>
      <c r="J460" s="274"/>
      <c r="K460" s="274"/>
      <c r="L460" s="274"/>
      <c r="M460" s="276"/>
      <c r="N460" s="278"/>
      <c r="O460" s="189"/>
      <c r="AB460" s="1"/>
      <c r="AC460" s="1"/>
      <c r="AD460" s="1"/>
      <c r="AE460" s="1"/>
      <c r="AF460" s="1"/>
      <c r="AG460" s="1"/>
      <c r="AH460" s="1"/>
      <c r="AI460" s="1"/>
      <c r="AJ460" s="1"/>
      <c r="AK460" s="1"/>
    </row>
    <row r="461" spans="1:37" ht="15" customHeight="1">
      <c r="A461" s="274"/>
      <c r="B461" s="274"/>
      <c r="C461" s="274"/>
      <c r="D461" s="274"/>
      <c r="E461" s="274"/>
      <c r="F461" s="274"/>
      <c r="G461" s="274"/>
      <c r="H461" s="275"/>
      <c r="I461" s="274"/>
      <c r="J461" s="274"/>
      <c r="K461" s="274"/>
      <c r="L461" s="274"/>
      <c r="M461" s="276"/>
      <c r="N461" s="277"/>
      <c r="O461" s="189"/>
      <c r="AB461" s="1"/>
      <c r="AC461" s="1"/>
      <c r="AD461" s="1"/>
      <c r="AE461" s="1"/>
      <c r="AF461" s="1"/>
      <c r="AG461" s="1"/>
      <c r="AH461" s="1"/>
      <c r="AI461" s="1"/>
      <c r="AJ461" s="1"/>
      <c r="AK461" s="1"/>
    </row>
    <row r="462" spans="1:37" ht="15" customHeight="1">
      <c r="A462" s="274"/>
      <c r="B462" s="274"/>
      <c r="C462" s="274"/>
      <c r="D462" s="274"/>
      <c r="E462" s="274"/>
      <c r="F462" s="274"/>
      <c r="G462" s="274"/>
      <c r="H462" s="275"/>
      <c r="I462" s="274"/>
      <c r="J462" s="274"/>
      <c r="K462" s="274"/>
      <c r="L462" s="274"/>
      <c r="M462" s="276"/>
      <c r="N462" s="277"/>
      <c r="O462" s="189"/>
      <c r="AB462" s="1"/>
      <c r="AC462" s="1"/>
      <c r="AD462" s="1"/>
      <c r="AE462" s="1"/>
      <c r="AF462" s="1"/>
      <c r="AG462" s="1"/>
      <c r="AH462" s="1"/>
      <c r="AI462" s="1"/>
      <c r="AJ462" s="1"/>
      <c r="AK462" s="1"/>
    </row>
    <row r="463" spans="1:37" ht="15" customHeight="1">
      <c r="A463" s="274"/>
      <c r="B463" s="274"/>
      <c r="C463" s="274"/>
      <c r="D463" s="274"/>
      <c r="E463" s="274"/>
      <c r="F463" s="274"/>
      <c r="G463" s="274"/>
      <c r="H463" s="275"/>
      <c r="I463" s="274"/>
      <c r="J463" s="274"/>
      <c r="K463" s="274"/>
      <c r="L463" s="274"/>
      <c r="M463" s="276"/>
      <c r="N463" s="277"/>
      <c r="O463" s="189"/>
      <c r="AB463" s="1"/>
      <c r="AC463" s="1"/>
      <c r="AD463" s="1"/>
      <c r="AE463" s="1"/>
      <c r="AF463" s="1"/>
      <c r="AG463" s="1"/>
      <c r="AH463" s="1"/>
      <c r="AI463" s="1"/>
      <c r="AJ463" s="1"/>
      <c r="AK463" s="1"/>
    </row>
    <row r="464" spans="1:37" ht="15" customHeight="1">
      <c r="A464" s="274"/>
      <c r="B464" s="274"/>
      <c r="C464" s="274"/>
      <c r="D464" s="274"/>
      <c r="E464" s="274"/>
      <c r="F464" s="274"/>
      <c r="G464" s="274"/>
      <c r="H464" s="275"/>
      <c r="I464" s="274"/>
      <c r="J464" s="274"/>
      <c r="K464" s="274"/>
      <c r="L464" s="274"/>
      <c r="M464" s="276"/>
      <c r="N464" s="277"/>
      <c r="O464" s="189"/>
      <c r="AB464" s="1"/>
      <c r="AC464" s="1"/>
      <c r="AD464" s="1"/>
      <c r="AE464" s="1"/>
      <c r="AF464" s="1"/>
      <c r="AG464" s="1"/>
      <c r="AH464" s="1"/>
      <c r="AI464" s="1"/>
      <c r="AJ464" s="1"/>
      <c r="AK464" s="1"/>
    </row>
    <row r="465" spans="1:37" s="67" customFormat="1" ht="15" customHeight="1">
      <c r="A465" s="274"/>
      <c r="B465" s="274"/>
      <c r="C465" s="274"/>
      <c r="D465" s="274"/>
      <c r="E465" s="274"/>
      <c r="F465" s="274"/>
      <c r="G465" s="274"/>
      <c r="H465" s="274"/>
      <c r="I465" s="274"/>
      <c r="J465" s="274"/>
      <c r="K465" s="274"/>
      <c r="L465" s="274"/>
      <c r="M465" s="274"/>
      <c r="N465" s="277"/>
      <c r="O465" s="189"/>
      <c r="AB465" s="1"/>
      <c r="AC465" s="1"/>
      <c r="AD465" s="1"/>
      <c r="AE465" s="1"/>
      <c r="AF465" s="1"/>
      <c r="AG465" s="1"/>
      <c r="AH465" s="1"/>
      <c r="AI465" s="1"/>
      <c r="AJ465" s="1"/>
      <c r="AK465" s="1"/>
    </row>
    <row r="466" spans="1:37" s="67" customFormat="1" ht="15" customHeight="1">
      <c r="A466" s="274"/>
      <c r="B466" s="274"/>
      <c r="C466" s="274"/>
      <c r="D466" s="274"/>
      <c r="E466" s="274"/>
      <c r="F466" s="274"/>
      <c r="G466" s="274"/>
      <c r="H466" s="274"/>
      <c r="I466" s="274"/>
      <c r="J466" s="274"/>
      <c r="K466" s="274"/>
      <c r="L466" s="274"/>
      <c r="M466" s="274"/>
      <c r="N466" s="277"/>
      <c r="O466" s="189"/>
      <c r="AB466" s="1"/>
      <c r="AC466" s="1"/>
      <c r="AD466" s="1"/>
      <c r="AE466" s="1"/>
      <c r="AF466" s="1"/>
      <c r="AG466" s="1"/>
      <c r="AH466" s="1"/>
      <c r="AI466" s="1"/>
      <c r="AJ466" s="1"/>
      <c r="AK466" s="1"/>
    </row>
    <row r="467" spans="1:37" ht="15" customHeight="1">
      <c r="A467" s="274"/>
      <c r="B467" s="274"/>
      <c r="C467" s="274"/>
      <c r="D467" s="274"/>
      <c r="E467" s="274"/>
      <c r="F467" s="274"/>
      <c r="G467" s="274"/>
      <c r="H467" s="275"/>
      <c r="I467" s="274"/>
      <c r="J467" s="274"/>
      <c r="K467" s="274"/>
      <c r="L467" s="274"/>
      <c r="M467" s="276"/>
      <c r="N467" s="277"/>
      <c r="O467" s="189"/>
      <c r="AB467" s="1"/>
      <c r="AC467" s="1"/>
      <c r="AD467" s="1"/>
      <c r="AE467" s="1"/>
      <c r="AF467" s="1"/>
      <c r="AG467" s="1"/>
      <c r="AH467" s="1"/>
      <c r="AI467" s="1"/>
      <c r="AJ467" s="1"/>
      <c r="AK467" s="1"/>
    </row>
    <row r="468" spans="1:37" ht="15" customHeight="1">
      <c r="A468" s="274"/>
      <c r="B468" s="274"/>
      <c r="C468" s="274"/>
      <c r="D468" s="274"/>
      <c r="E468" s="274"/>
      <c r="F468" s="274"/>
      <c r="G468" s="274"/>
      <c r="H468" s="275"/>
      <c r="I468" s="274"/>
      <c r="J468" s="274"/>
      <c r="K468" s="274"/>
      <c r="L468" s="274"/>
      <c r="M468" s="276"/>
      <c r="N468" s="279"/>
      <c r="O468" s="189"/>
      <c r="AB468" s="1"/>
      <c r="AC468" s="1"/>
      <c r="AD468" s="1"/>
      <c r="AE468" s="1"/>
      <c r="AF468" s="1"/>
      <c r="AG468" s="1"/>
      <c r="AH468" s="1"/>
      <c r="AI468" s="1"/>
      <c r="AJ468" s="1"/>
      <c r="AK468" s="1"/>
    </row>
    <row r="469" spans="1:37" ht="15" customHeight="1">
      <c r="A469" s="274"/>
      <c r="B469" s="274"/>
      <c r="C469" s="274"/>
      <c r="D469" s="274"/>
      <c r="E469" s="274"/>
      <c r="F469" s="274"/>
      <c r="G469" s="274"/>
      <c r="H469" s="275"/>
      <c r="I469" s="274"/>
      <c r="J469" s="274"/>
      <c r="K469" s="274"/>
      <c r="L469" s="274"/>
      <c r="M469" s="276"/>
      <c r="N469" s="277"/>
      <c r="O469" s="189"/>
      <c r="AB469" s="1"/>
      <c r="AC469" s="1"/>
      <c r="AD469" s="1"/>
      <c r="AE469" s="1"/>
      <c r="AF469" s="1"/>
      <c r="AG469" s="1"/>
      <c r="AH469" s="1"/>
      <c r="AI469" s="1"/>
      <c r="AJ469" s="1"/>
      <c r="AK469" s="1"/>
    </row>
    <row r="470" spans="1:37" ht="15" customHeight="1">
      <c r="A470" s="274"/>
      <c r="B470" s="274"/>
      <c r="C470" s="274"/>
      <c r="D470" s="274"/>
      <c r="E470" s="274"/>
      <c r="F470" s="274"/>
      <c r="G470" s="274"/>
      <c r="H470" s="275"/>
      <c r="I470" s="274"/>
      <c r="J470" s="274"/>
      <c r="K470" s="274"/>
      <c r="L470" s="274"/>
      <c r="M470" s="276"/>
      <c r="N470" s="277"/>
      <c r="O470" s="189"/>
      <c r="AB470" s="1"/>
      <c r="AC470" s="1"/>
      <c r="AD470" s="1"/>
      <c r="AE470" s="1"/>
      <c r="AF470" s="1"/>
      <c r="AG470" s="1"/>
      <c r="AH470" s="1"/>
      <c r="AI470" s="1"/>
      <c r="AJ470" s="1"/>
      <c r="AK470" s="1"/>
    </row>
    <row r="471" spans="1:37" ht="15" customHeight="1">
      <c r="A471" s="274"/>
      <c r="B471" s="274"/>
      <c r="C471" s="274"/>
      <c r="D471" s="274"/>
      <c r="E471" s="274"/>
      <c r="F471" s="274"/>
      <c r="G471" s="274"/>
      <c r="H471" s="275"/>
      <c r="I471" s="274"/>
      <c r="J471" s="274"/>
      <c r="K471" s="274"/>
      <c r="L471" s="274"/>
      <c r="M471" s="276"/>
      <c r="N471" s="277"/>
      <c r="O471" s="189"/>
      <c r="AB471" s="1"/>
      <c r="AC471" s="1"/>
      <c r="AD471" s="1"/>
      <c r="AE471" s="1"/>
      <c r="AF471" s="1"/>
      <c r="AG471" s="1"/>
      <c r="AH471" s="1"/>
      <c r="AI471" s="1"/>
      <c r="AJ471" s="1"/>
      <c r="AK471" s="1"/>
    </row>
    <row r="472" spans="1:37" ht="15" customHeight="1">
      <c r="A472" s="274"/>
      <c r="B472" s="274"/>
      <c r="C472" s="274"/>
      <c r="D472" s="274"/>
      <c r="E472" s="274"/>
      <c r="F472" s="274"/>
      <c r="G472" s="274"/>
      <c r="H472" s="275"/>
      <c r="I472" s="274"/>
      <c r="J472" s="274"/>
      <c r="K472" s="274"/>
      <c r="L472" s="274"/>
      <c r="M472" s="276"/>
      <c r="N472" s="277"/>
      <c r="O472" s="189"/>
      <c r="AB472" s="1"/>
      <c r="AC472" s="1"/>
      <c r="AD472" s="1"/>
      <c r="AE472" s="1"/>
      <c r="AF472" s="1"/>
      <c r="AG472" s="1"/>
      <c r="AH472" s="1"/>
      <c r="AI472" s="1"/>
      <c r="AJ472" s="1"/>
      <c r="AK472" s="1"/>
    </row>
    <row r="473" spans="1:37" ht="15" customHeight="1">
      <c r="A473" s="274"/>
      <c r="B473" s="274"/>
      <c r="C473" s="274"/>
      <c r="D473" s="274"/>
      <c r="E473" s="274"/>
      <c r="F473" s="274"/>
      <c r="G473" s="274"/>
      <c r="H473" s="275"/>
      <c r="I473" s="274"/>
      <c r="J473" s="274"/>
      <c r="K473" s="274"/>
      <c r="L473" s="274"/>
      <c r="M473" s="276"/>
      <c r="N473" s="278"/>
      <c r="O473" s="189"/>
      <c r="AB473" s="1"/>
      <c r="AC473" s="1"/>
      <c r="AD473" s="1"/>
      <c r="AE473" s="1"/>
      <c r="AF473" s="1"/>
      <c r="AG473" s="1"/>
      <c r="AH473" s="1"/>
      <c r="AI473" s="1"/>
      <c r="AJ473" s="1"/>
      <c r="AK473" s="1"/>
    </row>
    <row r="474" spans="1:37" ht="15" customHeight="1">
      <c r="A474" s="274"/>
      <c r="B474" s="274"/>
      <c r="C474" s="274"/>
      <c r="D474" s="274"/>
      <c r="E474" s="274"/>
      <c r="F474" s="274"/>
      <c r="G474" s="274"/>
      <c r="H474" s="275"/>
      <c r="I474" s="274"/>
      <c r="J474" s="274"/>
      <c r="K474" s="274"/>
      <c r="L474" s="274"/>
      <c r="M474" s="276"/>
      <c r="N474" s="278"/>
      <c r="O474" s="189"/>
      <c r="AB474" s="1"/>
      <c r="AC474" s="1"/>
      <c r="AD474" s="1"/>
      <c r="AE474" s="1"/>
      <c r="AF474" s="1"/>
      <c r="AG474" s="1"/>
      <c r="AH474" s="1"/>
      <c r="AI474" s="1"/>
      <c r="AJ474" s="1"/>
      <c r="AK474" s="1"/>
    </row>
    <row r="475" spans="1:37" ht="15" customHeight="1">
      <c r="A475" s="274"/>
      <c r="B475" s="274"/>
      <c r="C475" s="274"/>
      <c r="D475" s="274"/>
      <c r="E475" s="274"/>
      <c r="F475" s="274"/>
      <c r="G475" s="274"/>
      <c r="H475" s="275"/>
      <c r="I475" s="274"/>
      <c r="J475" s="274"/>
      <c r="K475" s="274"/>
      <c r="L475" s="274"/>
      <c r="M475" s="276"/>
      <c r="N475" s="277"/>
      <c r="O475" s="189"/>
      <c r="AB475" s="1"/>
      <c r="AC475" s="1"/>
      <c r="AD475" s="1"/>
      <c r="AE475" s="1"/>
      <c r="AF475" s="1"/>
      <c r="AG475" s="1"/>
      <c r="AH475" s="1"/>
      <c r="AI475" s="1"/>
      <c r="AJ475" s="1"/>
      <c r="AK475" s="1"/>
    </row>
    <row r="476" spans="1:37" ht="15" customHeight="1">
      <c r="A476" s="274"/>
      <c r="B476" s="274"/>
      <c r="C476" s="274"/>
      <c r="D476" s="274"/>
      <c r="E476" s="274"/>
      <c r="F476" s="274"/>
      <c r="G476" s="274"/>
      <c r="H476" s="275"/>
      <c r="I476" s="274"/>
      <c r="J476" s="274"/>
      <c r="K476" s="274"/>
      <c r="L476" s="274"/>
      <c r="M476" s="276"/>
      <c r="N476" s="277"/>
      <c r="O476" s="189"/>
      <c r="AB476" s="1"/>
      <c r="AC476" s="1"/>
      <c r="AD476" s="1"/>
      <c r="AE476" s="1"/>
      <c r="AF476" s="1"/>
      <c r="AG476" s="1"/>
      <c r="AH476" s="1"/>
      <c r="AI476" s="1"/>
      <c r="AJ476" s="1"/>
      <c r="AK476" s="1"/>
    </row>
    <row r="477" spans="1:37" ht="15" customHeight="1">
      <c r="A477" s="274"/>
      <c r="B477" s="274"/>
      <c r="C477" s="274"/>
      <c r="D477" s="274"/>
      <c r="E477" s="274"/>
      <c r="F477" s="274"/>
      <c r="G477" s="274"/>
      <c r="H477" s="275"/>
      <c r="I477" s="274"/>
      <c r="J477" s="274"/>
      <c r="K477" s="274"/>
      <c r="L477" s="274"/>
      <c r="M477" s="276"/>
      <c r="N477" s="277"/>
      <c r="O477" s="189"/>
      <c r="AB477" s="1"/>
      <c r="AC477" s="1"/>
      <c r="AD477" s="1"/>
      <c r="AE477" s="1"/>
      <c r="AF477" s="1"/>
      <c r="AG477" s="1"/>
      <c r="AH477" s="1"/>
      <c r="AI477" s="1"/>
      <c r="AJ477" s="1"/>
      <c r="AK477" s="1"/>
    </row>
    <row r="478" spans="1:37" ht="15" customHeight="1">
      <c r="A478" s="274"/>
      <c r="B478" s="274"/>
      <c r="C478" s="274"/>
      <c r="D478" s="274"/>
      <c r="E478" s="274"/>
      <c r="F478" s="274"/>
      <c r="G478" s="274"/>
      <c r="H478" s="275"/>
      <c r="I478" s="274"/>
      <c r="J478" s="274"/>
      <c r="K478" s="274"/>
      <c r="L478" s="274"/>
      <c r="M478" s="276"/>
      <c r="N478" s="277"/>
      <c r="O478" s="189"/>
      <c r="AB478" s="1"/>
      <c r="AC478" s="1"/>
      <c r="AD478" s="1"/>
      <c r="AE478" s="1"/>
      <c r="AF478" s="1"/>
      <c r="AG478" s="1"/>
      <c r="AH478" s="1"/>
      <c r="AI478" s="1"/>
      <c r="AJ478" s="1"/>
      <c r="AK478" s="1"/>
    </row>
    <row r="479" spans="1:37" s="90" customFormat="1" ht="15" customHeight="1">
      <c r="A479" s="274"/>
      <c r="B479" s="274"/>
      <c r="C479" s="274"/>
      <c r="D479" s="274"/>
      <c r="E479" s="274"/>
      <c r="F479" s="274"/>
      <c r="G479" s="274"/>
      <c r="H479" s="274"/>
      <c r="I479" s="274"/>
      <c r="J479" s="274"/>
      <c r="K479" s="274"/>
      <c r="L479" s="274"/>
      <c r="M479" s="274"/>
      <c r="N479" s="277"/>
      <c r="O479" s="189"/>
      <c r="AB479" s="1"/>
      <c r="AC479" s="1"/>
      <c r="AD479" s="1"/>
      <c r="AE479" s="1"/>
      <c r="AF479" s="1"/>
      <c r="AG479" s="1"/>
      <c r="AH479" s="1"/>
      <c r="AI479" s="1"/>
      <c r="AJ479" s="1"/>
      <c r="AK479" s="1"/>
    </row>
    <row r="480" spans="1:37" s="90" customFormat="1" ht="15" customHeight="1">
      <c r="A480" s="274"/>
      <c r="B480" s="274"/>
      <c r="C480" s="274"/>
      <c r="D480" s="274"/>
      <c r="E480" s="274"/>
      <c r="F480" s="274"/>
      <c r="G480" s="274"/>
      <c r="H480" s="274"/>
      <c r="I480" s="274"/>
      <c r="J480" s="274"/>
      <c r="K480" s="274"/>
      <c r="L480" s="274"/>
      <c r="M480" s="274"/>
      <c r="N480" s="277"/>
      <c r="O480" s="189"/>
      <c r="AB480" s="1"/>
      <c r="AC480" s="1"/>
      <c r="AD480" s="1"/>
      <c r="AE480" s="1"/>
      <c r="AF480" s="1"/>
      <c r="AG480" s="1"/>
      <c r="AH480" s="1"/>
      <c r="AI480" s="1"/>
      <c r="AJ480" s="1"/>
      <c r="AK480" s="1"/>
    </row>
    <row r="481" spans="1:37" s="90" customFormat="1" ht="15" customHeight="1">
      <c r="A481" s="274"/>
      <c r="B481" s="274"/>
      <c r="C481" s="274"/>
      <c r="D481" s="274"/>
      <c r="E481" s="274"/>
      <c r="F481" s="274"/>
      <c r="G481" s="274"/>
      <c r="H481" s="274"/>
      <c r="I481" s="274"/>
      <c r="J481" s="274"/>
      <c r="K481" s="274"/>
      <c r="L481" s="274"/>
      <c r="M481" s="274"/>
      <c r="N481" s="277"/>
      <c r="O481" s="189"/>
      <c r="AB481" s="1"/>
      <c r="AC481" s="1"/>
      <c r="AD481" s="1"/>
      <c r="AE481" s="1"/>
      <c r="AF481" s="1"/>
      <c r="AG481" s="1"/>
      <c r="AH481" s="1"/>
      <c r="AI481" s="1"/>
      <c r="AJ481" s="1"/>
      <c r="AK481" s="1"/>
    </row>
    <row r="482" spans="1:37" s="90" customFormat="1" ht="15" customHeight="1">
      <c r="A482" s="274"/>
      <c r="B482" s="274"/>
      <c r="C482" s="274"/>
      <c r="D482" s="274"/>
      <c r="E482" s="274"/>
      <c r="F482" s="274"/>
      <c r="G482" s="274"/>
      <c r="H482" s="274"/>
      <c r="I482" s="274"/>
      <c r="J482" s="274"/>
      <c r="K482" s="274"/>
      <c r="L482" s="274"/>
      <c r="M482" s="274"/>
      <c r="N482" s="277"/>
      <c r="O482" s="189"/>
      <c r="AB482" s="1"/>
      <c r="AC482" s="1"/>
      <c r="AD482" s="1"/>
      <c r="AE482" s="1"/>
      <c r="AF482" s="1"/>
      <c r="AG482" s="1"/>
      <c r="AH482" s="1"/>
      <c r="AI482" s="1"/>
      <c r="AJ482" s="1"/>
      <c r="AK482" s="1"/>
    </row>
    <row r="483" spans="1:37" s="90" customFormat="1" ht="15" customHeight="1">
      <c r="A483" s="274"/>
      <c r="B483" s="274"/>
      <c r="C483" s="274"/>
      <c r="D483" s="274"/>
      <c r="E483" s="274"/>
      <c r="F483" s="274"/>
      <c r="G483" s="274"/>
      <c r="H483" s="274"/>
      <c r="I483" s="274"/>
      <c r="J483" s="274"/>
      <c r="K483" s="274"/>
      <c r="L483" s="274"/>
      <c r="M483" s="274"/>
      <c r="N483" s="277"/>
      <c r="O483" s="189"/>
      <c r="AB483" s="1"/>
      <c r="AC483" s="1"/>
      <c r="AD483" s="1"/>
      <c r="AE483" s="1"/>
      <c r="AF483" s="1"/>
      <c r="AG483" s="1"/>
      <c r="AH483" s="1"/>
      <c r="AI483" s="1"/>
      <c r="AJ483" s="1"/>
      <c r="AK483" s="1"/>
    </row>
    <row r="484" spans="1:37" s="90" customFormat="1" ht="15" customHeight="1">
      <c r="A484" s="274"/>
      <c r="B484" s="274"/>
      <c r="C484" s="274"/>
      <c r="D484" s="274"/>
      <c r="E484" s="274"/>
      <c r="F484" s="274"/>
      <c r="G484" s="274"/>
      <c r="H484" s="274"/>
      <c r="I484" s="274"/>
      <c r="J484" s="274"/>
      <c r="K484" s="274"/>
      <c r="L484" s="274"/>
      <c r="M484" s="274"/>
      <c r="N484" s="277"/>
      <c r="O484" s="189"/>
      <c r="AB484" s="1"/>
      <c r="AC484" s="1"/>
      <c r="AD484" s="1"/>
      <c r="AE484" s="1"/>
      <c r="AF484" s="1"/>
      <c r="AG484" s="1"/>
      <c r="AH484" s="1"/>
      <c r="AI484" s="1"/>
      <c r="AJ484" s="1"/>
      <c r="AK484" s="1"/>
    </row>
    <row r="485" spans="1:37" s="90" customFormat="1" ht="15" customHeight="1">
      <c r="A485" s="274"/>
      <c r="B485" s="274"/>
      <c r="C485" s="274"/>
      <c r="D485" s="274"/>
      <c r="E485" s="274"/>
      <c r="F485" s="274"/>
      <c r="G485" s="274"/>
      <c r="H485" s="274"/>
      <c r="I485" s="274"/>
      <c r="J485" s="274"/>
      <c r="K485" s="274"/>
      <c r="L485" s="274"/>
      <c r="M485" s="274"/>
      <c r="N485" s="277"/>
      <c r="O485" s="189"/>
      <c r="AB485" s="1"/>
      <c r="AC485" s="1"/>
      <c r="AD485" s="1"/>
      <c r="AE485" s="1"/>
      <c r="AF485" s="1"/>
      <c r="AG485" s="1"/>
      <c r="AH485" s="1"/>
      <c r="AI485" s="1"/>
      <c r="AJ485" s="1"/>
      <c r="AK485" s="1"/>
    </row>
    <row r="486" spans="1:37" s="90" customFormat="1" ht="15" customHeight="1">
      <c r="A486" s="274"/>
      <c r="B486" s="274"/>
      <c r="C486" s="274"/>
      <c r="D486" s="274"/>
      <c r="E486" s="274"/>
      <c r="F486" s="274"/>
      <c r="G486" s="274"/>
      <c r="H486" s="274"/>
      <c r="I486" s="274"/>
      <c r="J486" s="274"/>
      <c r="K486" s="274"/>
      <c r="L486" s="274"/>
      <c r="M486" s="274"/>
      <c r="N486" s="277"/>
      <c r="O486" s="189"/>
      <c r="AB486" s="1"/>
      <c r="AC486" s="1"/>
      <c r="AD486" s="1"/>
      <c r="AE486" s="1"/>
      <c r="AF486" s="1"/>
      <c r="AG486" s="1"/>
      <c r="AH486" s="1"/>
      <c r="AI486" s="1"/>
      <c r="AJ486" s="1"/>
      <c r="AK486" s="1"/>
    </row>
    <row r="487" spans="1:37" s="90" customFormat="1" ht="15" customHeight="1">
      <c r="A487" s="274"/>
      <c r="B487" s="274"/>
      <c r="C487" s="274"/>
      <c r="D487" s="274"/>
      <c r="E487" s="274"/>
      <c r="F487" s="274"/>
      <c r="G487" s="274"/>
      <c r="H487" s="274"/>
      <c r="I487" s="274"/>
      <c r="J487" s="274"/>
      <c r="K487" s="274"/>
      <c r="L487" s="274"/>
      <c r="M487" s="274"/>
      <c r="N487" s="277"/>
      <c r="O487" s="189"/>
      <c r="AB487" s="1"/>
      <c r="AC487" s="1"/>
      <c r="AD487" s="1"/>
      <c r="AE487" s="1"/>
      <c r="AF487" s="1"/>
      <c r="AG487" s="1"/>
      <c r="AH487" s="1"/>
      <c r="AI487" s="1"/>
      <c r="AJ487" s="1"/>
      <c r="AK487" s="1"/>
    </row>
    <row r="488" spans="1:37" s="90" customFormat="1" ht="15" customHeight="1">
      <c r="A488" s="274"/>
      <c r="B488" s="274"/>
      <c r="C488" s="274"/>
      <c r="D488" s="274"/>
      <c r="E488" s="274"/>
      <c r="F488" s="274"/>
      <c r="G488" s="274"/>
      <c r="H488" s="274"/>
      <c r="I488" s="274"/>
      <c r="J488" s="274"/>
      <c r="K488" s="274"/>
      <c r="L488" s="274"/>
      <c r="M488" s="274"/>
      <c r="N488" s="277"/>
      <c r="O488" s="189"/>
      <c r="AB488" s="1"/>
      <c r="AC488" s="1"/>
      <c r="AD488" s="1"/>
      <c r="AE488" s="1"/>
      <c r="AF488" s="1"/>
      <c r="AG488" s="1"/>
      <c r="AH488" s="1"/>
      <c r="AI488" s="1"/>
      <c r="AJ488" s="1"/>
      <c r="AK488" s="1"/>
    </row>
    <row r="489" spans="1:37" s="90" customFormat="1" ht="15" customHeight="1">
      <c r="A489" s="274"/>
      <c r="B489" s="274"/>
      <c r="C489" s="274"/>
      <c r="D489" s="274"/>
      <c r="E489" s="274"/>
      <c r="F489" s="274"/>
      <c r="G489" s="274"/>
      <c r="H489" s="274"/>
      <c r="I489" s="274"/>
      <c r="J489" s="274"/>
      <c r="K489" s="274"/>
      <c r="L489" s="274"/>
      <c r="M489" s="274"/>
      <c r="N489" s="277"/>
      <c r="O489" s="189"/>
      <c r="AB489" s="1"/>
      <c r="AC489" s="1"/>
      <c r="AD489" s="1"/>
      <c r="AE489" s="1"/>
      <c r="AF489" s="1"/>
      <c r="AG489" s="1"/>
      <c r="AH489" s="1"/>
      <c r="AI489" s="1"/>
      <c r="AJ489" s="1"/>
      <c r="AK489" s="1"/>
    </row>
    <row r="490" spans="1:37" s="90" customFormat="1" ht="15" customHeight="1">
      <c r="A490" s="274"/>
      <c r="B490" s="274"/>
      <c r="C490" s="274"/>
      <c r="D490" s="274"/>
      <c r="E490" s="274"/>
      <c r="F490" s="274"/>
      <c r="G490" s="274"/>
      <c r="H490" s="274"/>
      <c r="I490" s="274"/>
      <c r="J490" s="274"/>
      <c r="K490" s="274"/>
      <c r="L490" s="274"/>
      <c r="M490" s="274"/>
      <c r="N490" s="277"/>
      <c r="O490" s="189"/>
      <c r="AB490" s="1"/>
      <c r="AC490" s="1"/>
      <c r="AD490" s="1"/>
      <c r="AE490" s="1"/>
      <c r="AF490" s="1"/>
      <c r="AG490" s="1"/>
      <c r="AH490" s="1"/>
      <c r="AI490" s="1"/>
      <c r="AJ490" s="1"/>
      <c r="AK490" s="1"/>
    </row>
    <row r="491" spans="1:37" s="90" customFormat="1" ht="15" customHeight="1">
      <c r="A491" s="274"/>
      <c r="B491" s="274"/>
      <c r="C491" s="274"/>
      <c r="D491" s="274"/>
      <c r="E491" s="274"/>
      <c r="F491" s="274"/>
      <c r="G491" s="274"/>
      <c r="H491" s="274"/>
      <c r="I491" s="274"/>
      <c r="J491" s="274"/>
      <c r="K491" s="274"/>
      <c r="L491" s="274"/>
      <c r="M491" s="274"/>
      <c r="N491" s="277"/>
      <c r="O491" s="189"/>
      <c r="AB491" s="1"/>
      <c r="AC491" s="1"/>
      <c r="AD491" s="1"/>
      <c r="AE491" s="1"/>
      <c r="AF491" s="1"/>
      <c r="AG491" s="1"/>
      <c r="AH491" s="1"/>
      <c r="AI491" s="1"/>
      <c r="AJ491" s="1"/>
      <c r="AK491" s="1"/>
    </row>
    <row r="492" spans="1:37" s="90" customFormat="1" ht="15" customHeight="1">
      <c r="A492" s="274"/>
      <c r="B492" s="274"/>
      <c r="C492" s="274"/>
      <c r="D492" s="274"/>
      <c r="E492" s="274"/>
      <c r="F492" s="274"/>
      <c r="G492" s="274"/>
      <c r="H492" s="274"/>
      <c r="I492" s="274"/>
      <c r="J492" s="274"/>
      <c r="K492" s="274"/>
      <c r="L492" s="274"/>
      <c r="M492" s="274"/>
      <c r="N492" s="277"/>
      <c r="O492" s="189"/>
      <c r="AB492" s="1"/>
      <c r="AC492" s="1"/>
      <c r="AD492" s="1"/>
      <c r="AE492" s="1"/>
      <c r="AF492" s="1"/>
      <c r="AG492" s="1"/>
      <c r="AH492" s="1"/>
      <c r="AI492" s="1"/>
      <c r="AJ492" s="1"/>
      <c r="AK492" s="1"/>
    </row>
    <row r="493" spans="1:37" s="90" customFormat="1" ht="15" customHeight="1">
      <c r="A493" s="274"/>
      <c r="B493" s="274"/>
      <c r="C493" s="274"/>
      <c r="D493" s="274"/>
      <c r="E493" s="274"/>
      <c r="F493" s="274"/>
      <c r="G493" s="274"/>
      <c r="H493" s="274"/>
      <c r="I493" s="274"/>
      <c r="J493" s="274"/>
      <c r="K493" s="274"/>
      <c r="L493" s="274"/>
      <c r="M493" s="274"/>
      <c r="N493" s="277"/>
      <c r="O493" s="189"/>
      <c r="AB493" s="1"/>
      <c r="AC493" s="1"/>
      <c r="AD493" s="1"/>
      <c r="AE493" s="1"/>
      <c r="AF493" s="1"/>
      <c r="AG493" s="1"/>
      <c r="AH493" s="1"/>
      <c r="AI493" s="1"/>
      <c r="AJ493" s="1"/>
      <c r="AK493" s="1"/>
    </row>
    <row r="494" spans="1:37" s="90" customFormat="1" ht="15" customHeight="1">
      <c r="A494" s="274"/>
      <c r="B494" s="274"/>
      <c r="C494" s="274"/>
      <c r="D494" s="274"/>
      <c r="E494" s="274"/>
      <c r="F494" s="274"/>
      <c r="G494" s="274"/>
      <c r="H494" s="274"/>
      <c r="I494" s="274"/>
      <c r="J494" s="274"/>
      <c r="K494" s="274"/>
      <c r="L494" s="274"/>
      <c r="M494" s="274"/>
      <c r="N494" s="277"/>
      <c r="O494" s="189"/>
      <c r="AB494" s="1"/>
      <c r="AC494" s="1"/>
      <c r="AD494" s="1"/>
      <c r="AE494" s="1"/>
      <c r="AF494" s="1"/>
      <c r="AG494" s="1"/>
      <c r="AH494" s="1"/>
      <c r="AI494" s="1"/>
      <c r="AJ494" s="1"/>
      <c r="AK494" s="1"/>
    </row>
    <row r="495" spans="1:37" s="90" customFormat="1" ht="15" customHeight="1">
      <c r="A495" s="274"/>
      <c r="B495" s="274"/>
      <c r="C495" s="274"/>
      <c r="D495" s="274"/>
      <c r="E495" s="274"/>
      <c r="F495" s="274"/>
      <c r="G495" s="274"/>
      <c r="H495" s="274"/>
      <c r="I495" s="274"/>
      <c r="J495" s="274"/>
      <c r="K495" s="274"/>
      <c r="L495" s="274"/>
      <c r="M495" s="274"/>
      <c r="N495" s="277"/>
      <c r="O495" s="189"/>
      <c r="AB495" s="1"/>
      <c r="AC495" s="1"/>
      <c r="AD495" s="1"/>
      <c r="AE495" s="1"/>
      <c r="AF495" s="1"/>
      <c r="AG495" s="1"/>
      <c r="AH495" s="1"/>
      <c r="AI495" s="1"/>
      <c r="AJ495" s="1"/>
      <c r="AK495" s="1"/>
    </row>
    <row r="496" spans="1:37" s="90" customFormat="1" ht="15" customHeight="1">
      <c r="A496" s="274"/>
      <c r="B496" s="274"/>
      <c r="C496" s="274"/>
      <c r="D496" s="274"/>
      <c r="E496" s="274"/>
      <c r="F496" s="274"/>
      <c r="G496" s="274"/>
      <c r="H496" s="274"/>
      <c r="I496" s="274"/>
      <c r="J496" s="274"/>
      <c r="K496" s="274"/>
      <c r="L496" s="274"/>
      <c r="M496" s="274"/>
      <c r="N496" s="277"/>
      <c r="O496" s="189"/>
      <c r="AB496" s="1"/>
      <c r="AC496" s="1"/>
      <c r="AD496" s="1"/>
      <c r="AE496" s="1"/>
      <c r="AF496" s="1"/>
      <c r="AG496" s="1"/>
      <c r="AH496" s="1"/>
      <c r="AI496" s="1"/>
      <c r="AJ496" s="1"/>
      <c r="AK496" s="1"/>
    </row>
    <row r="497" spans="1:37" s="90" customFormat="1" ht="15" customHeight="1">
      <c r="A497" s="274"/>
      <c r="B497" s="274"/>
      <c r="C497" s="274"/>
      <c r="D497" s="274"/>
      <c r="E497" s="274"/>
      <c r="F497" s="274"/>
      <c r="G497" s="274"/>
      <c r="H497" s="274"/>
      <c r="I497" s="274"/>
      <c r="J497" s="274"/>
      <c r="K497" s="274"/>
      <c r="L497" s="274"/>
      <c r="M497" s="274"/>
      <c r="N497" s="277"/>
      <c r="O497" s="189"/>
      <c r="AB497" s="1"/>
      <c r="AC497" s="1"/>
      <c r="AD497" s="1"/>
      <c r="AE497" s="1"/>
      <c r="AF497" s="1"/>
      <c r="AG497" s="1"/>
      <c r="AH497" s="1"/>
      <c r="AI497" s="1"/>
      <c r="AJ497" s="1"/>
      <c r="AK497" s="1"/>
    </row>
    <row r="498" spans="1:37" s="90" customFormat="1" ht="15" customHeight="1">
      <c r="A498" s="274"/>
      <c r="B498" s="274"/>
      <c r="C498" s="274"/>
      <c r="D498" s="274"/>
      <c r="E498" s="274"/>
      <c r="F498" s="274"/>
      <c r="G498" s="274"/>
      <c r="H498" s="274"/>
      <c r="I498" s="274"/>
      <c r="J498" s="274"/>
      <c r="K498" s="274"/>
      <c r="L498" s="274"/>
      <c r="M498" s="274"/>
      <c r="N498" s="277"/>
      <c r="O498" s="189"/>
      <c r="AB498" s="1"/>
      <c r="AC498" s="1"/>
      <c r="AD498" s="1"/>
      <c r="AE498" s="1"/>
      <c r="AF498" s="1"/>
      <c r="AG498" s="1"/>
      <c r="AH498" s="1"/>
      <c r="AI498" s="1"/>
      <c r="AJ498" s="1"/>
      <c r="AK498" s="1"/>
    </row>
    <row r="499" spans="1:37" s="90" customFormat="1" ht="15" customHeight="1">
      <c r="A499" s="274"/>
      <c r="B499" s="274"/>
      <c r="C499" s="274"/>
      <c r="D499" s="274"/>
      <c r="E499" s="274"/>
      <c r="F499" s="274"/>
      <c r="G499" s="274"/>
      <c r="H499" s="274"/>
      <c r="I499" s="274"/>
      <c r="J499" s="274"/>
      <c r="K499" s="274"/>
      <c r="L499" s="274"/>
      <c r="M499" s="274"/>
      <c r="N499" s="277"/>
      <c r="O499" s="189"/>
      <c r="AB499" s="1"/>
      <c r="AC499" s="1"/>
      <c r="AD499" s="1"/>
      <c r="AE499" s="1"/>
      <c r="AF499" s="1"/>
      <c r="AG499" s="1"/>
      <c r="AH499" s="1"/>
      <c r="AI499" s="1"/>
      <c r="AJ499" s="1"/>
      <c r="AK499" s="1"/>
    </row>
    <row r="500" spans="1:37" s="90" customFormat="1" ht="15" customHeight="1">
      <c r="A500" s="274"/>
      <c r="B500" s="274"/>
      <c r="C500" s="274"/>
      <c r="D500" s="274"/>
      <c r="E500" s="274"/>
      <c r="F500" s="274"/>
      <c r="G500" s="274"/>
      <c r="H500" s="274"/>
      <c r="I500" s="274"/>
      <c r="J500" s="274"/>
      <c r="K500" s="274"/>
      <c r="L500" s="274"/>
      <c r="M500" s="274"/>
      <c r="N500" s="277"/>
      <c r="O500" s="189"/>
      <c r="AB500" s="1"/>
      <c r="AC500" s="1"/>
      <c r="AD500" s="1"/>
      <c r="AE500" s="1"/>
      <c r="AF500" s="1"/>
      <c r="AG500" s="1"/>
      <c r="AH500" s="1"/>
      <c r="AI500" s="1"/>
      <c r="AJ500" s="1"/>
      <c r="AK500" s="1"/>
    </row>
    <row r="501" spans="1:37" s="90" customFormat="1" ht="15" customHeight="1">
      <c r="A501" s="274"/>
      <c r="B501" s="274"/>
      <c r="C501" s="274"/>
      <c r="D501" s="274"/>
      <c r="E501" s="274"/>
      <c r="F501" s="274"/>
      <c r="G501" s="274"/>
      <c r="H501" s="274"/>
      <c r="I501" s="274"/>
      <c r="J501" s="274"/>
      <c r="K501" s="274"/>
      <c r="L501" s="274"/>
      <c r="M501" s="274"/>
      <c r="N501" s="277"/>
      <c r="O501" s="189"/>
      <c r="AB501" s="1"/>
      <c r="AC501" s="1"/>
      <c r="AD501" s="1"/>
      <c r="AE501" s="1"/>
      <c r="AF501" s="1"/>
      <c r="AG501" s="1"/>
      <c r="AH501" s="1"/>
      <c r="AI501" s="1"/>
      <c r="AJ501" s="1"/>
      <c r="AK501" s="1"/>
    </row>
    <row r="502" spans="1:37" s="90" customFormat="1" ht="15" customHeight="1">
      <c r="A502" s="274"/>
      <c r="B502" s="274"/>
      <c r="C502" s="274"/>
      <c r="D502" s="274"/>
      <c r="E502" s="274"/>
      <c r="F502" s="274"/>
      <c r="G502" s="274"/>
      <c r="H502" s="274"/>
      <c r="I502" s="274"/>
      <c r="J502" s="274"/>
      <c r="K502" s="274"/>
      <c r="L502" s="274"/>
      <c r="M502" s="274"/>
      <c r="N502" s="277"/>
      <c r="O502" s="189"/>
      <c r="AB502" s="1"/>
      <c r="AC502" s="1"/>
      <c r="AD502" s="1"/>
      <c r="AE502" s="1"/>
      <c r="AF502" s="1"/>
      <c r="AG502" s="1"/>
      <c r="AH502" s="1"/>
      <c r="AI502" s="1"/>
      <c r="AJ502" s="1"/>
      <c r="AK502" s="1"/>
    </row>
    <row r="503" spans="1:37" s="90" customFormat="1" ht="15" customHeight="1">
      <c r="A503" s="274"/>
      <c r="B503" s="274"/>
      <c r="C503" s="274"/>
      <c r="D503" s="274"/>
      <c r="E503" s="274"/>
      <c r="F503" s="274"/>
      <c r="G503" s="274"/>
      <c r="H503" s="274"/>
      <c r="I503" s="274"/>
      <c r="J503" s="274"/>
      <c r="K503" s="274"/>
      <c r="L503" s="274"/>
      <c r="M503" s="274"/>
      <c r="N503" s="277"/>
      <c r="O503" s="189"/>
      <c r="AB503" s="1"/>
      <c r="AC503" s="1"/>
      <c r="AD503" s="1"/>
      <c r="AE503" s="1"/>
      <c r="AF503" s="1"/>
      <c r="AG503" s="1"/>
      <c r="AH503" s="1"/>
      <c r="AI503" s="1"/>
      <c r="AJ503" s="1"/>
      <c r="AK503" s="1"/>
    </row>
    <row r="504" spans="1:37" s="90" customFormat="1" ht="15" customHeight="1">
      <c r="A504" s="274"/>
      <c r="B504" s="274"/>
      <c r="C504" s="274"/>
      <c r="D504" s="274"/>
      <c r="E504" s="274"/>
      <c r="F504" s="274"/>
      <c r="G504" s="274"/>
      <c r="H504" s="274"/>
      <c r="I504" s="274"/>
      <c r="J504" s="274"/>
      <c r="K504" s="274"/>
      <c r="L504" s="274"/>
      <c r="M504" s="274"/>
      <c r="N504" s="277"/>
      <c r="O504" s="189"/>
      <c r="AB504" s="1"/>
      <c r="AC504" s="1"/>
      <c r="AD504" s="1"/>
      <c r="AE504" s="1"/>
      <c r="AF504" s="1"/>
      <c r="AG504" s="1"/>
      <c r="AH504" s="1"/>
      <c r="AI504" s="1"/>
      <c r="AJ504" s="1"/>
      <c r="AK504" s="1"/>
    </row>
    <row r="505" spans="1:37" s="90" customFormat="1" ht="15" customHeight="1">
      <c r="A505" s="274"/>
      <c r="B505" s="274"/>
      <c r="C505" s="274"/>
      <c r="D505" s="274"/>
      <c r="E505" s="274"/>
      <c r="F505" s="274"/>
      <c r="G505" s="274"/>
      <c r="H505" s="274"/>
      <c r="I505" s="274"/>
      <c r="J505" s="274"/>
      <c r="K505" s="274"/>
      <c r="L505" s="274"/>
      <c r="M505" s="274"/>
      <c r="N505" s="277"/>
      <c r="O505" s="189"/>
      <c r="AB505" s="1"/>
      <c r="AC505" s="1"/>
      <c r="AD505" s="1"/>
      <c r="AE505" s="1"/>
      <c r="AF505" s="1"/>
      <c r="AG505" s="1"/>
      <c r="AH505" s="1"/>
      <c r="AI505" s="1"/>
      <c r="AJ505" s="1"/>
      <c r="AK505" s="1"/>
    </row>
    <row r="506" spans="1:37" s="90" customFormat="1" ht="15" customHeight="1">
      <c r="A506" s="274"/>
      <c r="B506" s="274"/>
      <c r="C506" s="274"/>
      <c r="D506" s="274"/>
      <c r="E506" s="274"/>
      <c r="F506" s="274"/>
      <c r="G506" s="274"/>
      <c r="H506" s="274"/>
      <c r="I506" s="274"/>
      <c r="J506" s="274"/>
      <c r="K506" s="274"/>
      <c r="L506" s="274"/>
      <c r="M506" s="274"/>
      <c r="N506" s="277"/>
      <c r="O506" s="189"/>
      <c r="AB506" s="1"/>
      <c r="AC506" s="1"/>
      <c r="AD506" s="1"/>
      <c r="AE506" s="1"/>
      <c r="AF506" s="1"/>
      <c r="AG506" s="1"/>
      <c r="AH506" s="1"/>
      <c r="AI506" s="1"/>
      <c r="AJ506" s="1"/>
      <c r="AK506" s="1"/>
    </row>
    <row r="507" spans="1:37" ht="19.5" customHeight="1">
      <c r="A507" s="274"/>
      <c r="B507" s="274"/>
      <c r="C507" s="274"/>
      <c r="D507" s="274"/>
      <c r="E507" s="274"/>
      <c r="F507" s="274"/>
      <c r="G507" s="274"/>
      <c r="H507" s="275"/>
      <c r="I507" s="274"/>
      <c r="J507" s="274"/>
      <c r="K507" s="274"/>
      <c r="L507" s="274"/>
      <c r="M507" s="276"/>
      <c r="N507" s="277"/>
      <c r="O507" s="189"/>
      <c r="AB507" s="1"/>
      <c r="AC507" s="1"/>
      <c r="AD507" s="1"/>
      <c r="AE507" s="1"/>
      <c r="AF507" s="1"/>
      <c r="AG507" s="1"/>
      <c r="AH507" s="1"/>
      <c r="AI507" s="1"/>
      <c r="AJ507" s="1"/>
      <c r="AK507" s="1"/>
    </row>
    <row r="508" spans="1:37" ht="14.1" customHeight="1">
      <c r="A508" s="274"/>
      <c r="B508" s="274"/>
      <c r="C508" s="274"/>
      <c r="D508" s="274"/>
      <c r="E508" s="274"/>
      <c r="F508" s="274"/>
      <c r="G508" s="274"/>
      <c r="H508" s="275"/>
      <c r="I508" s="274"/>
      <c r="J508" s="274"/>
      <c r="K508" s="274"/>
      <c r="L508" s="274"/>
      <c r="M508" s="276"/>
      <c r="N508" s="274"/>
      <c r="O508" s="274"/>
      <c r="AB508" s="1"/>
      <c r="AC508" s="1"/>
      <c r="AD508" s="1"/>
      <c r="AE508" s="1"/>
      <c r="AF508" s="1"/>
      <c r="AG508" s="1"/>
      <c r="AH508" s="1"/>
      <c r="AI508" s="1"/>
      <c r="AJ508" s="1"/>
      <c r="AK508" s="1"/>
    </row>
    <row r="509" spans="1:37" ht="15" customHeight="1">
      <c r="A509" s="274"/>
      <c r="B509" s="274"/>
      <c r="C509" s="274"/>
      <c r="D509" s="274"/>
      <c r="E509" s="274"/>
      <c r="F509" s="274"/>
      <c r="G509" s="274"/>
      <c r="H509" s="275"/>
      <c r="I509" s="274"/>
      <c r="J509" s="274"/>
      <c r="K509" s="274"/>
      <c r="L509" s="274"/>
      <c r="M509" s="276"/>
      <c r="N509" s="274"/>
      <c r="O509" s="274"/>
      <c r="AB509" s="1"/>
      <c r="AC509" s="1"/>
      <c r="AD509" s="1"/>
      <c r="AE509" s="1"/>
      <c r="AF509" s="1"/>
      <c r="AG509" s="1"/>
      <c r="AH509" s="1"/>
      <c r="AI509" s="1"/>
      <c r="AJ509" s="1"/>
      <c r="AK509" s="1"/>
    </row>
    <row r="510" spans="1:37" ht="14.1" customHeight="1">
      <c r="A510" s="274"/>
      <c r="B510" s="274"/>
      <c r="C510" s="274"/>
      <c r="D510" s="274"/>
      <c r="E510" s="274"/>
      <c r="F510" s="274"/>
      <c r="G510" s="274"/>
      <c r="H510" s="275"/>
      <c r="I510" s="274"/>
      <c r="J510" s="274"/>
      <c r="K510" s="274"/>
      <c r="L510" s="274"/>
      <c r="M510" s="276"/>
      <c r="N510" s="274"/>
      <c r="O510" s="274"/>
      <c r="AB510" s="1"/>
      <c r="AC510" s="1"/>
      <c r="AD510" s="1"/>
      <c r="AE510" s="1"/>
      <c r="AF510" s="1"/>
      <c r="AG510" s="1"/>
      <c r="AH510" s="1"/>
      <c r="AI510" s="1"/>
      <c r="AJ510" s="1"/>
      <c r="AK510" s="1"/>
    </row>
    <row r="511" spans="1:37" ht="20.25" customHeight="1">
      <c r="A511" s="274"/>
      <c r="B511" s="274"/>
      <c r="C511" s="274"/>
      <c r="D511" s="274"/>
      <c r="E511" s="274"/>
      <c r="F511" s="274"/>
      <c r="G511" s="274"/>
      <c r="H511" s="275"/>
      <c r="I511" s="274"/>
      <c r="J511" s="274"/>
      <c r="K511" s="274"/>
      <c r="L511" s="274"/>
      <c r="M511" s="276"/>
      <c r="N511" s="274"/>
      <c r="O511" s="274"/>
      <c r="AB511" s="1"/>
      <c r="AC511" s="1"/>
      <c r="AD511" s="1"/>
      <c r="AE511" s="1"/>
      <c r="AF511" s="1"/>
      <c r="AG511" s="1"/>
      <c r="AH511" s="1"/>
      <c r="AI511" s="1"/>
      <c r="AJ511" s="1"/>
      <c r="AK511" s="1"/>
    </row>
    <row r="512" spans="1:37" ht="15.75">
      <c r="A512" s="274"/>
      <c r="B512" s="274"/>
      <c r="C512" s="274"/>
      <c r="D512" s="274"/>
      <c r="E512" s="274"/>
      <c r="F512" s="274"/>
      <c r="G512" s="274"/>
      <c r="H512" s="275"/>
      <c r="I512" s="274"/>
      <c r="J512" s="274"/>
      <c r="K512" s="274"/>
      <c r="L512" s="274"/>
      <c r="M512" s="276"/>
      <c r="N512" s="274"/>
      <c r="O512" s="274"/>
      <c r="AB512" s="1"/>
      <c r="AC512" s="1"/>
      <c r="AD512" s="1"/>
      <c r="AE512" s="1"/>
      <c r="AF512" s="1"/>
      <c r="AG512" s="1"/>
      <c r="AH512" s="1"/>
      <c r="AI512" s="1"/>
      <c r="AJ512" s="1"/>
      <c r="AK512" s="1"/>
    </row>
    <row r="513" spans="1:37" ht="15.75">
      <c r="A513" s="274"/>
      <c r="B513" s="274"/>
      <c r="C513" s="274"/>
      <c r="D513" s="274"/>
      <c r="E513" s="274"/>
      <c r="F513" s="274"/>
      <c r="G513" s="274"/>
      <c r="H513" s="275"/>
      <c r="I513" s="274"/>
      <c r="J513" s="274"/>
      <c r="K513" s="274"/>
      <c r="L513" s="274"/>
      <c r="M513" s="276"/>
      <c r="N513" s="274"/>
      <c r="O513" s="274"/>
      <c r="AB513" s="1"/>
      <c r="AC513" s="1"/>
      <c r="AD513" s="1"/>
      <c r="AE513" s="1"/>
      <c r="AF513" s="1"/>
      <c r="AG513" s="1"/>
      <c r="AH513" s="1"/>
      <c r="AI513" s="1"/>
      <c r="AJ513" s="1"/>
      <c r="AK513" s="1"/>
    </row>
    <row r="514" spans="1:37" ht="15.75">
      <c r="A514" s="274"/>
      <c r="B514" s="274"/>
      <c r="C514" s="274"/>
      <c r="D514" s="274"/>
      <c r="E514" s="274"/>
      <c r="F514" s="274"/>
      <c r="G514" s="274"/>
      <c r="H514" s="275"/>
      <c r="I514" s="274"/>
      <c r="J514" s="274"/>
      <c r="K514" s="274"/>
      <c r="L514" s="274"/>
      <c r="M514" s="276"/>
      <c r="N514" s="274"/>
      <c r="O514" s="274"/>
      <c r="P514" s="40">
        <f>SUM(P510:P513)</f>
        <v>0</v>
      </c>
      <c r="Q514" s="81"/>
      <c r="R514" s="81"/>
      <c r="AB514" s="1"/>
      <c r="AC514" s="1"/>
      <c r="AD514" s="1"/>
      <c r="AE514" s="1"/>
      <c r="AF514" s="1"/>
      <c r="AG514" s="1"/>
      <c r="AH514" s="1"/>
      <c r="AI514" s="1"/>
      <c r="AJ514" s="1"/>
      <c r="AK514" s="1"/>
    </row>
    <row r="515" spans="1:37" ht="15.75">
      <c r="A515" s="274"/>
      <c r="B515" s="274"/>
      <c r="C515" s="274"/>
      <c r="D515" s="274"/>
      <c r="E515" s="274"/>
      <c r="F515" s="274"/>
      <c r="G515" s="274"/>
      <c r="H515" s="275"/>
      <c r="I515" s="274"/>
      <c r="J515" s="274"/>
      <c r="K515" s="274"/>
      <c r="L515" s="274"/>
      <c r="M515" s="276"/>
      <c r="N515" s="274"/>
      <c r="O515" s="274"/>
      <c r="AB515" s="1"/>
      <c r="AC515" s="1"/>
      <c r="AD515" s="1"/>
      <c r="AE515" s="1"/>
      <c r="AF515" s="1"/>
      <c r="AG515" s="1"/>
      <c r="AH515" s="1"/>
      <c r="AI515" s="1"/>
      <c r="AJ515" s="1"/>
      <c r="AK515" s="1"/>
    </row>
    <row r="516" spans="1:37" ht="15.75">
      <c r="A516" s="274"/>
      <c r="B516" s="274"/>
      <c r="C516" s="274"/>
      <c r="D516" s="274"/>
      <c r="E516" s="274"/>
      <c r="F516" s="274"/>
      <c r="G516" s="274"/>
      <c r="H516" s="275"/>
      <c r="I516" s="274"/>
      <c r="J516" s="274"/>
      <c r="K516" s="274"/>
      <c r="L516" s="274"/>
      <c r="M516" s="276"/>
      <c r="N516" s="274"/>
      <c r="O516" s="274"/>
      <c r="AB516" s="1"/>
      <c r="AC516" s="1"/>
      <c r="AD516" s="1"/>
      <c r="AE516" s="1"/>
      <c r="AF516" s="1"/>
      <c r="AG516" s="1"/>
      <c r="AH516" s="1"/>
      <c r="AI516" s="1"/>
      <c r="AJ516" s="1"/>
      <c r="AK516" s="1"/>
    </row>
    <row r="517" spans="1:37" ht="15.75">
      <c r="A517" s="274"/>
      <c r="B517" s="274"/>
      <c r="C517" s="274"/>
      <c r="D517" s="274"/>
      <c r="E517" s="274"/>
      <c r="F517" s="274"/>
      <c r="G517" s="274"/>
      <c r="H517" s="275"/>
      <c r="I517" s="274"/>
      <c r="J517" s="274"/>
      <c r="K517" s="274"/>
      <c r="L517" s="274"/>
      <c r="M517" s="276"/>
      <c r="N517" s="274"/>
      <c r="O517" s="274"/>
      <c r="AB517" s="1"/>
      <c r="AC517" s="1"/>
      <c r="AD517" s="1"/>
      <c r="AE517" s="1"/>
      <c r="AF517" s="1"/>
      <c r="AG517" s="1"/>
      <c r="AH517" s="1"/>
      <c r="AI517" s="1"/>
      <c r="AJ517" s="1"/>
      <c r="AK517" s="1"/>
    </row>
    <row r="518" spans="1:37" ht="15.75">
      <c r="A518" s="274"/>
      <c r="B518" s="274"/>
      <c r="C518" s="274"/>
      <c r="D518" s="274"/>
      <c r="E518" s="274"/>
      <c r="F518" s="274"/>
      <c r="G518" s="274"/>
      <c r="H518" s="275"/>
      <c r="I518" s="274"/>
      <c r="J518" s="274"/>
      <c r="K518" s="274"/>
      <c r="L518" s="274"/>
      <c r="M518" s="276"/>
      <c r="N518" s="274"/>
      <c r="O518" s="274"/>
      <c r="AB518" s="1"/>
      <c r="AC518" s="1"/>
      <c r="AD518" s="1"/>
      <c r="AE518" s="1"/>
      <c r="AF518" s="1"/>
      <c r="AG518" s="1"/>
      <c r="AH518" s="1"/>
      <c r="AI518" s="1"/>
      <c r="AJ518" s="1"/>
      <c r="AK518" s="1"/>
    </row>
    <row r="519" spans="1:37" ht="15.75">
      <c r="A519" s="274"/>
      <c r="B519" s="274"/>
      <c r="C519" s="274"/>
      <c r="D519" s="274"/>
      <c r="E519" s="274"/>
      <c r="F519" s="274"/>
      <c r="G519" s="274"/>
      <c r="H519" s="275"/>
      <c r="I519" s="274"/>
      <c r="J519" s="274"/>
      <c r="K519" s="274"/>
      <c r="L519" s="274"/>
      <c r="M519" s="276"/>
      <c r="N519" s="274"/>
      <c r="O519" s="274"/>
      <c r="AB519" s="1"/>
      <c r="AC519" s="1"/>
      <c r="AD519" s="1"/>
      <c r="AE519" s="1"/>
      <c r="AF519" s="1"/>
      <c r="AG519" s="1"/>
      <c r="AH519" s="1"/>
      <c r="AI519" s="1"/>
      <c r="AJ519" s="1"/>
      <c r="AK519" s="1"/>
    </row>
    <row r="520" spans="1:37" ht="15.75">
      <c r="A520" s="274"/>
      <c r="B520" s="274"/>
      <c r="C520" s="274"/>
      <c r="D520" s="274"/>
      <c r="E520" s="274"/>
      <c r="F520" s="274"/>
      <c r="G520" s="274"/>
      <c r="H520" s="275"/>
      <c r="I520" s="274"/>
      <c r="J520" s="274"/>
      <c r="K520" s="274"/>
      <c r="L520" s="274"/>
      <c r="M520" s="276"/>
      <c r="N520" s="274"/>
      <c r="O520" s="274"/>
      <c r="AB520" s="1"/>
      <c r="AC520" s="1"/>
      <c r="AD520" s="1"/>
      <c r="AE520" s="1"/>
      <c r="AF520" s="1"/>
      <c r="AG520" s="1"/>
      <c r="AH520" s="1"/>
      <c r="AI520" s="1"/>
      <c r="AJ520" s="1"/>
      <c r="AK520" s="1"/>
    </row>
    <row r="521" spans="1:37" s="83" customFormat="1" ht="15.75">
      <c r="A521" s="274"/>
      <c r="B521" s="274"/>
      <c r="C521" s="274"/>
      <c r="D521" s="274"/>
      <c r="E521" s="274"/>
      <c r="F521" s="274"/>
      <c r="G521" s="274"/>
      <c r="H521" s="274"/>
      <c r="I521" s="274"/>
      <c r="J521" s="274"/>
      <c r="K521" s="274"/>
      <c r="L521" s="274"/>
      <c r="M521" s="274"/>
      <c r="N521" s="274"/>
      <c r="O521" s="274"/>
      <c r="AB521" s="1"/>
      <c r="AC521" s="1"/>
      <c r="AD521" s="1"/>
      <c r="AE521" s="1"/>
      <c r="AF521" s="1"/>
      <c r="AG521" s="1"/>
      <c r="AH521" s="1"/>
      <c r="AI521" s="1"/>
      <c r="AJ521" s="1"/>
      <c r="AK521" s="1"/>
    </row>
    <row r="522" spans="1:37" ht="20.25" customHeight="1">
      <c r="A522" s="274"/>
      <c r="B522" s="274"/>
      <c r="C522" s="274"/>
      <c r="D522" s="274"/>
      <c r="E522" s="274"/>
      <c r="F522" s="274"/>
      <c r="G522" s="274"/>
      <c r="H522" s="275"/>
      <c r="I522" s="274"/>
      <c r="J522" s="274"/>
      <c r="K522" s="274"/>
      <c r="L522" s="274"/>
      <c r="M522" s="276"/>
      <c r="N522" s="277"/>
      <c r="O522" s="189"/>
      <c r="AB522" s="1"/>
      <c r="AC522" s="1"/>
      <c r="AD522" s="1"/>
      <c r="AE522" s="1"/>
      <c r="AF522" s="1"/>
      <c r="AG522" s="1"/>
      <c r="AH522" s="1"/>
      <c r="AI522" s="1"/>
      <c r="AJ522" s="1"/>
      <c r="AK522" s="1"/>
    </row>
    <row r="523" spans="1:37" ht="15.75">
      <c r="A523" s="274"/>
      <c r="B523" s="274"/>
      <c r="C523" s="274"/>
      <c r="D523" s="274"/>
      <c r="E523" s="274"/>
      <c r="F523" s="274"/>
      <c r="G523" s="274"/>
      <c r="H523" s="275"/>
      <c r="I523" s="274"/>
      <c r="J523" s="274"/>
      <c r="K523" s="274"/>
      <c r="L523" s="274"/>
      <c r="M523" s="276"/>
      <c r="N523" s="277"/>
      <c r="O523" s="189"/>
      <c r="AB523" s="1"/>
      <c r="AC523" s="1"/>
      <c r="AD523" s="1"/>
      <c r="AE523" s="1"/>
      <c r="AF523" s="1"/>
      <c r="AG523" s="1"/>
      <c r="AH523" s="1"/>
      <c r="AI523" s="1"/>
      <c r="AJ523" s="1"/>
      <c r="AK523" s="1"/>
    </row>
    <row r="524" spans="1:37" ht="15.75">
      <c r="A524" s="274"/>
      <c r="B524" s="274"/>
      <c r="C524" s="274"/>
      <c r="D524" s="274"/>
      <c r="E524" s="274"/>
      <c r="F524" s="274"/>
      <c r="G524" s="274"/>
      <c r="H524" s="275"/>
      <c r="I524" s="274"/>
      <c r="J524" s="274"/>
      <c r="K524" s="274"/>
      <c r="L524" s="274"/>
      <c r="M524" s="276"/>
      <c r="N524" s="277"/>
      <c r="O524" s="189"/>
      <c r="AB524" s="1"/>
      <c r="AC524" s="1"/>
      <c r="AD524" s="1"/>
      <c r="AE524" s="1"/>
      <c r="AF524" s="1"/>
      <c r="AG524" s="1"/>
      <c r="AH524" s="1"/>
      <c r="AI524" s="1"/>
      <c r="AJ524" s="1"/>
      <c r="AK524" s="1"/>
    </row>
    <row r="525" spans="1:37" ht="15.75">
      <c r="A525" s="274"/>
      <c r="B525" s="274"/>
      <c r="C525" s="274"/>
      <c r="D525" s="274"/>
      <c r="E525" s="274"/>
      <c r="F525" s="274"/>
      <c r="G525" s="274"/>
      <c r="H525" s="275"/>
      <c r="I525" s="274"/>
      <c r="J525" s="274"/>
      <c r="K525" s="274"/>
      <c r="L525" s="274"/>
      <c r="M525" s="276"/>
      <c r="N525" s="277"/>
      <c r="O525" s="189"/>
      <c r="AB525" s="1"/>
      <c r="AC525" s="1"/>
      <c r="AD525" s="1"/>
      <c r="AE525" s="1"/>
      <c r="AF525" s="1"/>
      <c r="AG525" s="1"/>
      <c r="AH525" s="1"/>
      <c r="AI525" s="1"/>
      <c r="AJ525" s="1"/>
      <c r="AK525" s="1"/>
    </row>
    <row r="526" spans="1:37" ht="15.75">
      <c r="A526" s="274"/>
      <c r="B526" s="274"/>
      <c r="C526" s="274"/>
      <c r="D526" s="274"/>
      <c r="E526" s="274"/>
      <c r="F526" s="274"/>
      <c r="G526" s="274"/>
      <c r="H526" s="275"/>
      <c r="I526" s="274"/>
      <c r="J526" s="274"/>
      <c r="K526" s="274"/>
      <c r="L526" s="274"/>
      <c r="M526" s="276"/>
      <c r="N526" s="277"/>
      <c r="O526" s="189"/>
      <c r="AB526" s="1"/>
      <c r="AC526" s="1"/>
      <c r="AD526" s="1"/>
      <c r="AE526" s="1"/>
      <c r="AF526" s="1"/>
      <c r="AG526" s="1"/>
      <c r="AH526" s="1"/>
      <c r="AI526" s="1"/>
      <c r="AJ526" s="1"/>
      <c r="AK526" s="1"/>
    </row>
    <row r="527" spans="1:37" ht="15.75">
      <c r="A527" s="274"/>
      <c r="B527" s="274"/>
      <c r="C527" s="274"/>
      <c r="D527" s="274"/>
      <c r="E527" s="274"/>
      <c r="F527" s="274"/>
      <c r="G527" s="274"/>
      <c r="H527" s="275"/>
      <c r="I527" s="274"/>
      <c r="J527" s="274"/>
      <c r="K527" s="274"/>
      <c r="L527" s="274"/>
      <c r="M527" s="276"/>
      <c r="N527" s="277"/>
      <c r="O527" s="189"/>
      <c r="AB527" s="1"/>
      <c r="AC527" s="1"/>
      <c r="AD527" s="1"/>
      <c r="AE527" s="1"/>
      <c r="AF527" s="1"/>
      <c r="AG527" s="1"/>
      <c r="AH527" s="1"/>
      <c r="AI527" s="1"/>
      <c r="AJ527" s="1"/>
      <c r="AK527" s="1"/>
    </row>
    <row r="528" spans="1:37" ht="15.75">
      <c r="A528" s="274"/>
      <c r="B528" s="274"/>
      <c r="C528" s="274"/>
      <c r="D528" s="274"/>
      <c r="E528" s="274"/>
      <c r="F528" s="274"/>
      <c r="G528" s="274"/>
      <c r="H528" s="275"/>
      <c r="I528" s="274"/>
      <c r="J528" s="274"/>
      <c r="K528" s="274"/>
      <c r="L528" s="274"/>
      <c r="M528" s="276"/>
      <c r="N528" s="277"/>
      <c r="O528" s="189"/>
      <c r="AB528" s="1"/>
      <c r="AC528" s="1"/>
      <c r="AD528" s="1"/>
      <c r="AE528" s="1"/>
      <c r="AF528" s="1"/>
      <c r="AG528" s="1"/>
      <c r="AH528" s="1"/>
      <c r="AI528" s="1"/>
      <c r="AJ528" s="1"/>
      <c r="AK528" s="1"/>
    </row>
    <row r="529" spans="1:37" ht="15.75">
      <c r="A529" s="274"/>
      <c r="B529" s="274"/>
      <c r="C529" s="274"/>
      <c r="D529" s="274"/>
      <c r="E529" s="274"/>
      <c r="F529" s="274"/>
      <c r="G529" s="274"/>
      <c r="H529" s="275"/>
      <c r="I529" s="274"/>
      <c r="J529" s="274"/>
      <c r="K529" s="274"/>
      <c r="L529" s="274"/>
      <c r="M529" s="276"/>
      <c r="N529" s="277"/>
      <c r="O529" s="189"/>
      <c r="AB529" s="1"/>
      <c r="AC529" s="1"/>
      <c r="AD529" s="1"/>
      <c r="AE529" s="1"/>
      <c r="AF529" s="1"/>
      <c r="AG529" s="1"/>
      <c r="AH529" s="1"/>
      <c r="AI529" s="1"/>
      <c r="AJ529" s="1"/>
      <c r="AK529" s="1"/>
    </row>
    <row r="530" spans="1:37" ht="15.75">
      <c r="A530" s="274"/>
      <c r="B530" s="274"/>
      <c r="C530" s="274"/>
      <c r="D530" s="274"/>
      <c r="E530" s="274"/>
      <c r="F530" s="274"/>
      <c r="G530" s="274"/>
      <c r="H530" s="275"/>
      <c r="I530" s="274"/>
      <c r="J530" s="274"/>
      <c r="K530" s="274"/>
      <c r="L530" s="274"/>
      <c r="M530" s="276"/>
      <c r="N530" s="277"/>
      <c r="O530" s="189"/>
      <c r="AB530" s="1"/>
      <c r="AC530" s="1"/>
      <c r="AD530" s="1"/>
      <c r="AE530" s="1"/>
      <c r="AF530" s="1"/>
      <c r="AG530" s="1"/>
      <c r="AH530" s="1"/>
      <c r="AI530" s="1"/>
      <c r="AJ530" s="1"/>
      <c r="AK530" s="1"/>
    </row>
    <row r="531" spans="1:37" ht="15.75">
      <c r="A531" s="274"/>
      <c r="B531" s="274"/>
      <c r="C531" s="274"/>
      <c r="D531" s="274"/>
      <c r="E531" s="274"/>
      <c r="F531" s="274"/>
      <c r="G531" s="274"/>
      <c r="H531" s="275"/>
      <c r="I531" s="274"/>
      <c r="J531" s="274"/>
      <c r="K531" s="274"/>
      <c r="L531" s="274"/>
      <c r="M531" s="276"/>
      <c r="N531" s="277"/>
      <c r="O531" s="189"/>
      <c r="AB531" s="1"/>
      <c r="AC531" s="1"/>
      <c r="AD531" s="1"/>
      <c r="AE531" s="1"/>
      <c r="AF531" s="1"/>
      <c r="AG531" s="1"/>
      <c r="AH531" s="1"/>
      <c r="AI531" s="1"/>
      <c r="AJ531" s="1"/>
      <c r="AK531" s="1"/>
    </row>
    <row r="532" spans="1:37" ht="15.75">
      <c r="A532" s="274"/>
      <c r="B532" s="274"/>
      <c r="C532" s="274"/>
      <c r="D532" s="274"/>
      <c r="E532" s="274"/>
      <c r="F532" s="274"/>
      <c r="G532" s="274"/>
      <c r="H532" s="275"/>
      <c r="I532" s="274"/>
      <c r="J532" s="274"/>
      <c r="K532" s="274"/>
      <c r="L532" s="274"/>
      <c r="M532" s="276"/>
      <c r="N532" s="277"/>
      <c r="O532" s="189"/>
      <c r="AB532" s="1"/>
      <c r="AC532" s="1"/>
      <c r="AD532" s="1"/>
      <c r="AE532" s="1"/>
      <c r="AF532" s="1"/>
      <c r="AG532" s="1"/>
      <c r="AH532" s="1"/>
      <c r="AI532" s="1"/>
      <c r="AJ532" s="1"/>
      <c r="AK532" s="1"/>
    </row>
    <row r="533" spans="1:37" ht="21.75" customHeight="1">
      <c r="A533" s="274"/>
      <c r="B533" s="274"/>
      <c r="C533" s="274"/>
      <c r="D533" s="274"/>
      <c r="E533" s="274"/>
      <c r="F533" s="274"/>
      <c r="G533" s="274"/>
      <c r="H533" s="275"/>
      <c r="I533" s="274"/>
      <c r="J533" s="274"/>
      <c r="K533" s="274"/>
      <c r="L533" s="274"/>
      <c r="M533" s="276"/>
      <c r="N533" s="280"/>
      <c r="O533" s="189"/>
      <c r="P533" s="5"/>
      <c r="AB533" s="1"/>
      <c r="AC533" s="1"/>
      <c r="AD533" s="1"/>
      <c r="AE533" s="1"/>
      <c r="AF533" s="1"/>
      <c r="AG533" s="1"/>
      <c r="AH533" s="1"/>
      <c r="AI533" s="1"/>
      <c r="AJ533" s="1"/>
      <c r="AK533" s="1"/>
    </row>
    <row r="534" spans="1:37" ht="15.75">
      <c r="A534" s="274"/>
      <c r="B534" s="274"/>
      <c r="C534" s="274"/>
      <c r="D534" s="274"/>
      <c r="E534" s="274"/>
      <c r="F534" s="274"/>
      <c r="G534" s="274"/>
      <c r="H534" s="275"/>
      <c r="I534" s="274"/>
      <c r="J534" s="274"/>
      <c r="K534" s="274"/>
      <c r="L534" s="274"/>
      <c r="M534" s="276"/>
      <c r="N534" s="281"/>
      <c r="O534" s="189"/>
      <c r="AB534" s="1"/>
      <c r="AC534" s="1"/>
      <c r="AD534" s="1"/>
      <c r="AE534" s="1"/>
      <c r="AF534" s="1"/>
      <c r="AG534" s="1"/>
      <c r="AH534" s="1"/>
      <c r="AI534" s="1"/>
      <c r="AJ534" s="1"/>
      <c r="AK534" s="1"/>
    </row>
    <row r="535" spans="1:37" ht="15.75">
      <c r="A535" s="274"/>
      <c r="B535" s="274"/>
      <c r="C535" s="274"/>
      <c r="D535" s="274"/>
      <c r="E535" s="274"/>
      <c r="F535" s="274"/>
      <c r="G535" s="274"/>
      <c r="H535" s="275"/>
      <c r="I535" s="274"/>
      <c r="J535" s="274"/>
      <c r="K535" s="274"/>
      <c r="L535" s="274"/>
      <c r="M535" s="276"/>
      <c r="N535" s="281"/>
      <c r="O535" s="189"/>
      <c r="AB535" s="1"/>
      <c r="AC535" s="1"/>
      <c r="AD535" s="1"/>
      <c r="AE535" s="1"/>
      <c r="AF535" s="1"/>
      <c r="AG535" s="1"/>
      <c r="AH535" s="1"/>
      <c r="AI535" s="1"/>
      <c r="AJ535" s="1"/>
      <c r="AK535" s="1"/>
    </row>
    <row r="536" spans="1:37" ht="15.75">
      <c r="A536" s="274"/>
      <c r="B536" s="274"/>
      <c r="C536" s="274"/>
      <c r="D536" s="274"/>
      <c r="E536" s="274"/>
      <c r="F536" s="274"/>
      <c r="G536" s="274"/>
      <c r="H536" s="275"/>
      <c r="I536" s="274"/>
      <c r="J536" s="274"/>
      <c r="K536" s="274"/>
      <c r="L536" s="274"/>
      <c r="M536" s="276"/>
      <c r="N536" s="281"/>
      <c r="O536" s="189"/>
      <c r="AB536" s="1"/>
      <c r="AC536" s="1"/>
      <c r="AD536" s="1"/>
      <c r="AE536" s="1"/>
      <c r="AF536" s="1"/>
      <c r="AG536" s="1"/>
      <c r="AH536" s="1"/>
      <c r="AI536" s="1"/>
      <c r="AJ536" s="1"/>
      <c r="AK536" s="1"/>
    </row>
    <row r="537" spans="1:37" ht="15.75">
      <c r="A537" s="274"/>
      <c r="B537" s="274"/>
      <c r="C537" s="274"/>
      <c r="D537" s="274"/>
      <c r="E537" s="274"/>
      <c r="F537" s="274"/>
      <c r="G537" s="274"/>
      <c r="H537" s="275"/>
      <c r="I537" s="274"/>
      <c r="J537" s="274"/>
      <c r="K537" s="274"/>
      <c r="L537" s="274"/>
      <c r="M537" s="276"/>
      <c r="N537" s="280"/>
      <c r="O537" s="189"/>
      <c r="AB537" s="1"/>
      <c r="AC537" s="1"/>
      <c r="AD537" s="1"/>
      <c r="AE537" s="1"/>
      <c r="AF537" s="1"/>
      <c r="AG537" s="1"/>
      <c r="AH537" s="1"/>
      <c r="AI537" s="1"/>
      <c r="AJ537" s="1"/>
      <c r="AK537" s="1"/>
    </row>
    <row r="538" spans="1:37" ht="15.75">
      <c r="A538" s="274"/>
      <c r="B538" s="274"/>
      <c r="C538" s="274"/>
      <c r="D538" s="274"/>
      <c r="E538" s="274"/>
      <c r="F538" s="274"/>
      <c r="G538" s="274"/>
      <c r="H538" s="275"/>
      <c r="I538" s="274"/>
      <c r="J538" s="274"/>
      <c r="K538" s="274"/>
      <c r="L538" s="274"/>
      <c r="M538" s="276"/>
      <c r="N538" s="280"/>
      <c r="O538" s="189"/>
      <c r="AB538" s="1"/>
      <c r="AC538" s="1"/>
      <c r="AD538" s="1"/>
      <c r="AE538" s="1"/>
      <c r="AF538" s="1"/>
      <c r="AG538" s="1"/>
      <c r="AH538" s="1"/>
      <c r="AI538" s="1"/>
      <c r="AJ538" s="1"/>
      <c r="AK538" s="1"/>
    </row>
    <row r="539" spans="1:37" ht="15.75">
      <c r="A539" s="274"/>
      <c r="B539" s="274"/>
      <c r="C539" s="274"/>
      <c r="D539" s="274"/>
      <c r="E539" s="274"/>
      <c r="F539" s="274"/>
      <c r="G539" s="274"/>
      <c r="H539" s="275"/>
      <c r="I539" s="274"/>
      <c r="J539" s="274"/>
      <c r="K539" s="274"/>
      <c r="L539" s="274"/>
      <c r="M539" s="276"/>
      <c r="N539" s="277"/>
      <c r="O539" s="189"/>
      <c r="AB539" s="1"/>
      <c r="AC539" s="1"/>
      <c r="AD539" s="1"/>
      <c r="AE539" s="1"/>
      <c r="AF539" s="1"/>
      <c r="AG539" s="1"/>
      <c r="AH539" s="1"/>
      <c r="AI539" s="1"/>
      <c r="AJ539" s="1"/>
      <c r="AK539" s="1"/>
    </row>
    <row r="540" spans="1:37" ht="15.75">
      <c r="A540" s="274"/>
      <c r="B540" s="274"/>
      <c r="C540" s="274"/>
      <c r="D540" s="274"/>
      <c r="E540" s="274"/>
      <c r="F540" s="274"/>
      <c r="G540" s="274"/>
      <c r="H540" s="275"/>
      <c r="I540" s="274"/>
      <c r="J540" s="274"/>
      <c r="K540" s="274"/>
      <c r="L540" s="274"/>
      <c r="M540" s="276"/>
      <c r="N540" s="277"/>
      <c r="O540" s="189"/>
      <c r="AB540" s="1"/>
      <c r="AC540" s="1"/>
      <c r="AD540" s="1"/>
      <c r="AE540" s="1"/>
      <c r="AF540" s="1"/>
      <c r="AG540" s="1"/>
      <c r="AH540" s="1"/>
      <c r="AI540" s="1"/>
      <c r="AJ540" s="1"/>
      <c r="AK540" s="1"/>
    </row>
    <row r="541" spans="1:37" ht="15.75">
      <c r="A541" s="274"/>
      <c r="B541" s="274"/>
      <c r="C541" s="274"/>
      <c r="D541" s="274"/>
      <c r="E541" s="274"/>
      <c r="F541" s="274"/>
      <c r="G541" s="274"/>
      <c r="H541" s="275"/>
      <c r="I541" s="274"/>
      <c r="J541" s="274"/>
      <c r="K541" s="274"/>
      <c r="L541" s="274"/>
      <c r="M541" s="276"/>
      <c r="N541" s="277"/>
      <c r="O541" s="189"/>
      <c r="AB541" s="1"/>
      <c r="AC541" s="1"/>
      <c r="AD541" s="1"/>
      <c r="AE541" s="1"/>
      <c r="AF541" s="1"/>
      <c r="AG541" s="1"/>
      <c r="AH541" s="1"/>
      <c r="AI541" s="1"/>
      <c r="AJ541" s="1"/>
      <c r="AK541" s="1"/>
    </row>
    <row r="542" spans="1:37" ht="15.75">
      <c r="A542" s="274"/>
      <c r="B542" s="274"/>
      <c r="C542" s="274"/>
      <c r="D542" s="274"/>
      <c r="E542" s="274"/>
      <c r="F542" s="274"/>
      <c r="G542" s="274"/>
      <c r="H542" s="275"/>
      <c r="I542" s="274"/>
      <c r="J542" s="274"/>
      <c r="K542" s="274"/>
      <c r="L542" s="274"/>
      <c r="M542" s="276"/>
      <c r="N542" s="277"/>
      <c r="O542" s="189"/>
      <c r="AB542" s="1"/>
      <c r="AC542" s="1"/>
      <c r="AD542" s="1"/>
      <c r="AE542" s="1"/>
      <c r="AF542" s="1"/>
      <c r="AG542" s="1"/>
      <c r="AH542" s="1"/>
      <c r="AI542" s="1"/>
      <c r="AJ542" s="1"/>
      <c r="AK542" s="1"/>
    </row>
    <row r="543" spans="1:37" ht="15.75">
      <c r="A543" s="274"/>
      <c r="B543" s="274"/>
      <c r="C543" s="274"/>
      <c r="D543" s="274"/>
      <c r="E543" s="274"/>
      <c r="F543" s="274"/>
      <c r="G543" s="274"/>
      <c r="H543" s="275"/>
      <c r="I543" s="274"/>
      <c r="J543" s="274"/>
      <c r="K543" s="274"/>
      <c r="L543" s="274"/>
      <c r="M543" s="276"/>
      <c r="N543" s="277"/>
      <c r="O543" s="189"/>
      <c r="AB543" s="1"/>
      <c r="AC543" s="1"/>
      <c r="AD543" s="1"/>
      <c r="AE543" s="1"/>
      <c r="AF543" s="1"/>
      <c r="AG543" s="1"/>
      <c r="AH543" s="1"/>
      <c r="AI543" s="1"/>
      <c r="AJ543" s="1"/>
      <c r="AK543" s="1"/>
    </row>
    <row r="544" spans="1:37" ht="15.75">
      <c r="A544" s="274"/>
      <c r="B544" s="274"/>
      <c r="C544" s="274"/>
      <c r="D544" s="274"/>
      <c r="E544" s="274"/>
      <c r="F544" s="274"/>
      <c r="G544" s="274"/>
      <c r="H544" s="275"/>
      <c r="I544" s="274"/>
      <c r="J544" s="274"/>
      <c r="K544" s="274"/>
      <c r="L544" s="274"/>
      <c r="M544" s="276"/>
      <c r="N544" s="277"/>
      <c r="O544" s="189"/>
      <c r="AB544" s="1"/>
      <c r="AC544" s="1"/>
      <c r="AD544" s="1"/>
      <c r="AE544" s="1"/>
      <c r="AF544" s="1"/>
      <c r="AG544" s="1"/>
      <c r="AH544" s="1"/>
      <c r="AI544" s="1"/>
      <c r="AJ544" s="1"/>
      <c r="AK544" s="1"/>
    </row>
    <row r="545" spans="1:37" ht="15.75">
      <c r="A545" s="274"/>
      <c r="B545" s="274"/>
      <c r="C545" s="274"/>
      <c r="D545" s="274"/>
      <c r="E545" s="274"/>
      <c r="F545" s="274"/>
      <c r="G545" s="274"/>
      <c r="H545" s="275"/>
      <c r="I545" s="274"/>
      <c r="J545" s="274"/>
      <c r="K545" s="274"/>
      <c r="L545" s="274"/>
      <c r="M545" s="276"/>
      <c r="N545" s="277"/>
      <c r="O545" s="189"/>
      <c r="AB545" s="1"/>
      <c r="AC545" s="1"/>
      <c r="AD545" s="1"/>
      <c r="AE545" s="1"/>
      <c r="AF545" s="1"/>
      <c r="AG545" s="1"/>
      <c r="AH545" s="1"/>
      <c r="AI545" s="1"/>
      <c r="AJ545" s="1"/>
      <c r="AK545" s="1"/>
    </row>
    <row r="546" spans="1:37" ht="15.75">
      <c r="A546" s="274"/>
      <c r="B546" s="274"/>
      <c r="C546" s="274"/>
      <c r="D546" s="274"/>
      <c r="E546" s="274"/>
      <c r="F546" s="274"/>
      <c r="G546" s="274"/>
      <c r="H546" s="275"/>
      <c r="I546" s="274"/>
      <c r="J546" s="274"/>
      <c r="K546" s="274"/>
      <c r="L546" s="274"/>
      <c r="M546" s="276"/>
      <c r="N546" s="282"/>
      <c r="O546" s="282"/>
      <c r="P546" s="11"/>
      <c r="Q546" s="4"/>
      <c r="R546" s="4"/>
      <c r="S546" s="29"/>
      <c r="T546" s="28"/>
      <c r="U546" s="28"/>
      <c r="V546" s="28"/>
      <c r="W546" s="28"/>
      <c r="X546" s="28"/>
      <c r="Y546" s="28"/>
      <c r="Z546" s="28"/>
      <c r="AA546" s="28"/>
      <c r="AB546" s="28"/>
      <c r="AC546" s="29"/>
      <c r="AD546" s="29"/>
      <c r="AE546" s="29"/>
      <c r="AF546" s="29"/>
      <c r="AG546" s="33"/>
      <c r="AH546" s="1"/>
      <c r="AI546" s="1"/>
      <c r="AJ546" s="1"/>
      <c r="AK546" s="1"/>
    </row>
    <row r="547" spans="1:37" ht="15.75">
      <c r="A547" s="274"/>
      <c r="B547" s="274"/>
      <c r="C547" s="274"/>
      <c r="D547" s="274"/>
      <c r="E547" s="274"/>
      <c r="F547" s="274"/>
      <c r="G547" s="274"/>
      <c r="H547" s="275"/>
      <c r="I547" s="274"/>
      <c r="J547" s="274"/>
      <c r="K547" s="274"/>
      <c r="L547" s="274"/>
      <c r="M547" s="276"/>
      <c r="N547" s="274"/>
      <c r="O547" s="274"/>
      <c r="AB547" s="1"/>
      <c r="AC547" s="1"/>
      <c r="AD547" s="1"/>
      <c r="AE547" s="1"/>
      <c r="AF547" s="1"/>
      <c r="AG547" s="1"/>
      <c r="AH547" s="1"/>
      <c r="AI547" s="1"/>
      <c r="AJ547" s="1"/>
      <c r="AK547" s="1"/>
    </row>
    <row r="548" spans="1:37" ht="15.75">
      <c r="A548" s="274"/>
      <c r="B548" s="274"/>
      <c r="C548" s="274"/>
      <c r="D548" s="274"/>
      <c r="E548" s="274"/>
      <c r="F548" s="274"/>
      <c r="G548" s="274"/>
      <c r="H548" s="275"/>
      <c r="I548" s="274"/>
      <c r="J548" s="274"/>
      <c r="K548" s="274"/>
      <c r="L548" s="274"/>
      <c r="M548" s="276"/>
      <c r="N548" s="274"/>
      <c r="O548" s="274"/>
      <c r="AB548" s="1"/>
      <c r="AC548" s="1"/>
      <c r="AD548" s="1"/>
      <c r="AE548" s="1"/>
      <c r="AF548" s="1"/>
      <c r="AG548" s="1"/>
      <c r="AH548" s="1"/>
      <c r="AI548" s="1"/>
      <c r="AJ548" s="1"/>
      <c r="AK548" s="1"/>
    </row>
    <row r="549" spans="1:37" s="80" customFormat="1" ht="20.25" customHeight="1">
      <c r="A549" s="274"/>
      <c r="B549" s="274"/>
      <c r="C549" s="274"/>
      <c r="D549" s="274"/>
      <c r="E549" s="274"/>
      <c r="F549" s="274"/>
      <c r="G549" s="274"/>
      <c r="H549" s="274"/>
      <c r="I549" s="274"/>
      <c r="J549" s="274"/>
      <c r="K549" s="274"/>
      <c r="L549" s="274"/>
      <c r="M549" s="274"/>
      <c r="N549" s="274"/>
      <c r="O549" s="274"/>
      <c r="AB549" s="1"/>
      <c r="AC549" s="1"/>
      <c r="AD549" s="1"/>
      <c r="AE549" s="1"/>
      <c r="AF549" s="1"/>
      <c r="AG549" s="1"/>
      <c r="AH549" s="1"/>
      <c r="AI549" s="1"/>
      <c r="AJ549" s="1"/>
      <c r="AK549" s="1"/>
    </row>
    <row r="550" spans="1:37" s="80" customFormat="1" ht="15.75">
      <c r="A550" s="274"/>
      <c r="B550" s="274"/>
      <c r="C550" s="274"/>
      <c r="D550" s="274"/>
      <c r="E550" s="274"/>
      <c r="F550" s="274"/>
      <c r="G550" s="274"/>
      <c r="H550" s="274"/>
      <c r="I550" s="274"/>
      <c r="J550" s="274"/>
      <c r="K550" s="274"/>
      <c r="L550" s="274"/>
      <c r="M550" s="274"/>
      <c r="N550" s="274"/>
      <c r="O550" s="274"/>
      <c r="AB550" s="1"/>
      <c r="AC550" s="1"/>
      <c r="AD550" s="1"/>
      <c r="AE550" s="1"/>
      <c r="AF550" s="1"/>
      <c r="AG550" s="1"/>
      <c r="AH550" s="1"/>
      <c r="AI550" s="1"/>
      <c r="AJ550" s="1"/>
      <c r="AK550" s="1"/>
    </row>
    <row r="551" spans="1:37" s="80" customFormat="1" ht="15.75">
      <c r="A551" s="274"/>
      <c r="B551" s="274"/>
      <c r="C551" s="274"/>
      <c r="D551" s="274"/>
      <c r="E551" s="274"/>
      <c r="F551" s="274"/>
      <c r="G551" s="274"/>
      <c r="H551" s="274"/>
      <c r="I551" s="274"/>
      <c r="J551" s="274"/>
      <c r="K551" s="274"/>
      <c r="L551" s="274"/>
      <c r="M551" s="274"/>
      <c r="N551" s="274"/>
      <c r="O551" s="274"/>
      <c r="AB551" s="1"/>
      <c r="AC551" s="1"/>
      <c r="AD551" s="1"/>
      <c r="AE551" s="1"/>
      <c r="AF551" s="1"/>
      <c r="AG551" s="1"/>
      <c r="AH551" s="1"/>
      <c r="AI551" s="1"/>
      <c r="AJ551" s="1"/>
      <c r="AK551" s="1"/>
    </row>
    <row r="552" spans="1:37" s="80" customFormat="1" ht="15.75">
      <c r="A552" s="274"/>
      <c r="B552" s="274"/>
      <c r="C552" s="274"/>
      <c r="D552" s="274"/>
      <c r="E552" s="274"/>
      <c r="F552" s="274"/>
      <c r="G552" s="274"/>
      <c r="H552" s="274"/>
      <c r="I552" s="274"/>
      <c r="J552" s="274"/>
      <c r="K552" s="274"/>
      <c r="L552" s="274"/>
      <c r="M552" s="274"/>
      <c r="N552" s="274"/>
      <c r="O552" s="274"/>
      <c r="AB552" s="1"/>
      <c r="AC552" s="1"/>
      <c r="AD552" s="1"/>
      <c r="AE552" s="1"/>
      <c r="AF552" s="1"/>
      <c r="AG552" s="1"/>
      <c r="AH552" s="1"/>
      <c r="AI552" s="1"/>
      <c r="AJ552" s="1"/>
      <c r="AK552" s="1"/>
    </row>
    <row r="553" spans="1:37" s="80" customFormat="1" ht="15.75">
      <c r="A553" s="274"/>
      <c r="B553" s="274"/>
      <c r="C553" s="274"/>
      <c r="D553" s="274"/>
      <c r="E553" s="274"/>
      <c r="F553" s="274"/>
      <c r="G553" s="274"/>
      <c r="H553" s="274"/>
      <c r="I553" s="274"/>
      <c r="J553" s="274"/>
      <c r="K553" s="274"/>
      <c r="L553" s="274"/>
      <c r="M553" s="274"/>
      <c r="N553" s="274"/>
      <c r="O553" s="274"/>
      <c r="AB553" s="1"/>
      <c r="AC553" s="1"/>
      <c r="AD553" s="1"/>
      <c r="AE553" s="1"/>
      <c r="AF553" s="1"/>
      <c r="AG553" s="1"/>
      <c r="AH553" s="1"/>
      <c r="AI553" s="1"/>
      <c r="AJ553" s="1"/>
      <c r="AK553" s="1"/>
    </row>
    <row r="554" spans="1:37" s="80" customFormat="1" ht="15.75">
      <c r="A554" s="274"/>
      <c r="B554" s="274"/>
      <c r="C554" s="274"/>
      <c r="D554" s="274"/>
      <c r="E554" s="274"/>
      <c r="F554" s="274"/>
      <c r="G554" s="274"/>
      <c r="H554" s="274"/>
      <c r="I554" s="274"/>
      <c r="J554" s="274"/>
      <c r="K554" s="274"/>
      <c r="L554" s="274"/>
      <c r="M554" s="274"/>
      <c r="N554" s="274"/>
      <c r="O554" s="274"/>
      <c r="AB554" s="1"/>
      <c r="AC554" s="1"/>
      <c r="AD554" s="1"/>
      <c r="AE554" s="1"/>
      <c r="AF554" s="1"/>
      <c r="AG554" s="1"/>
      <c r="AH554" s="1"/>
      <c r="AI554" s="1"/>
      <c r="AJ554" s="1"/>
      <c r="AK554" s="1"/>
    </row>
    <row r="555" spans="1:37" s="80" customFormat="1" ht="15.75">
      <c r="A555" s="274"/>
      <c r="B555" s="274"/>
      <c r="C555" s="274"/>
      <c r="D555" s="274"/>
      <c r="E555" s="274"/>
      <c r="F555" s="274"/>
      <c r="G555" s="274"/>
      <c r="H555" s="274"/>
      <c r="I555" s="274"/>
      <c r="J555" s="274"/>
      <c r="K555" s="274"/>
      <c r="L555" s="274"/>
      <c r="M555" s="274"/>
      <c r="N555" s="274"/>
      <c r="O555" s="274"/>
      <c r="AB555" s="1"/>
      <c r="AC555" s="1"/>
      <c r="AD555" s="1"/>
      <c r="AE555" s="1"/>
      <c r="AF555" s="1"/>
      <c r="AG555" s="1"/>
      <c r="AH555" s="1"/>
      <c r="AI555" s="1"/>
      <c r="AJ555" s="1"/>
      <c r="AK555" s="1"/>
    </row>
    <row r="556" spans="1:37" s="80" customFormat="1" ht="15.75">
      <c r="A556" s="274"/>
      <c r="B556" s="274"/>
      <c r="C556" s="274"/>
      <c r="D556" s="274"/>
      <c r="E556" s="274"/>
      <c r="F556" s="274"/>
      <c r="G556" s="274"/>
      <c r="H556" s="274"/>
      <c r="I556" s="274"/>
      <c r="J556" s="274"/>
      <c r="K556" s="274"/>
      <c r="L556" s="274"/>
      <c r="M556" s="274"/>
      <c r="N556" s="274"/>
      <c r="O556" s="274"/>
      <c r="AB556" s="1"/>
      <c r="AC556" s="1"/>
      <c r="AD556" s="1"/>
      <c r="AE556" s="1"/>
      <c r="AF556" s="1"/>
      <c r="AG556" s="1"/>
      <c r="AH556" s="1"/>
      <c r="AI556" s="1"/>
      <c r="AJ556" s="1"/>
      <c r="AK556" s="1"/>
    </row>
    <row r="557" spans="1:37" s="80" customFormat="1" ht="15.75">
      <c r="A557" s="274"/>
      <c r="B557" s="274"/>
      <c r="C557" s="274"/>
      <c r="D557" s="274"/>
      <c r="E557" s="274"/>
      <c r="F557" s="274"/>
      <c r="G557" s="274"/>
      <c r="H557" s="274"/>
      <c r="I557" s="274"/>
      <c r="J557" s="274"/>
      <c r="K557" s="274"/>
      <c r="L557" s="274"/>
      <c r="M557" s="274"/>
      <c r="N557" s="274"/>
      <c r="O557" s="274"/>
      <c r="AB557" s="1"/>
      <c r="AC557" s="1"/>
      <c r="AD557" s="1"/>
      <c r="AE557" s="1"/>
      <c r="AF557" s="1"/>
      <c r="AG557" s="1"/>
      <c r="AH557" s="1"/>
      <c r="AI557" s="1"/>
      <c r="AJ557" s="1"/>
      <c r="AK557" s="1"/>
    </row>
    <row r="558" spans="1:37" s="80" customFormat="1" ht="15.75">
      <c r="A558" s="274"/>
      <c r="B558" s="274"/>
      <c r="C558" s="274"/>
      <c r="D558" s="274"/>
      <c r="E558" s="274"/>
      <c r="F558" s="274"/>
      <c r="G558" s="274"/>
      <c r="H558" s="274"/>
      <c r="I558" s="274"/>
      <c r="J558" s="274"/>
      <c r="K558" s="274"/>
      <c r="L558" s="274"/>
      <c r="M558" s="274"/>
      <c r="N558" s="274"/>
      <c r="O558" s="274"/>
      <c r="AB558" s="1"/>
      <c r="AC558" s="1"/>
      <c r="AD558" s="1"/>
      <c r="AE558" s="1"/>
      <c r="AF558" s="1"/>
      <c r="AG558" s="1"/>
      <c r="AH558" s="1"/>
      <c r="AI558" s="1"/>
      <c r="AJ558" s="1"/>
      <c r="AK558" s="1"/>
    </row>
    <row r="559" spans="1:37" s="80" customFormat="1" ht="15.75">
      <c r="A559" s="274"/>
      <c r="B559" s="274"/>
      <c r="C559" s="274"/>
      <c r="D559" s="274"/>
      <c r="E559" s="274"/>
      <c r="F559" s="274"/>
      <c r="G559" s="274"/>
      <c r="H559" s="274"/>
      <c r="I559" s="274"/>
      <c r="J559" s="274"/>
      <c r="K559" s="274"/>
      <c r="L559" s="274"/>
      <c r="M559" s="274"/>
      <c r="N559" s="274"/>
      <c r="O559" s="274"/>
      <c r="AB559" s="1"/>
      <c r="AC559" s="1"/>
      <c r="AD559" s="1"/>
      <c r="AE559" s="1"/>
      <c r="AF559" s="1"/>
      <c r="AG559" s="1"/>
      <c r="AH559" s="1"/>
      <c r="AI559" s="1"/>
      <c r="AJ559" s="1"/>
      <c r="AK559" s="1"/>
    </row>
    <row r="560" spans="1:37" s="80" customFormat="1" ht="15.75">
      <c r="A560" s="274"/>
      <c r="B560" s="274"/>
      <c r="C560" s="274"/>
      <c r="D560" s="274"/>
      <c r="E560" s="274"/>
      <c r="F560" s="274"/>
      <c r="G560" s="274"/>
      <c r="H560" s="274"/>
      <c r="I560" s="274"/>
      <c r="J560" s="274"/>
      <c r="K560" s="274"/>
      <c r="L560" s="274"/>
      <c r="M560" s="274"/>
      <c r="N560" s="274"/>
      <c r="O560" s="274"/>
      <c r="AB560" s="1"/>
      <c r="AC560" s="1"/>
      <c r="AD560" s="1"/>
      <c r="AE560" s="1"/>
      <c r="AF560" s="1"/>
      <c r="AG560" s="1"/>
      <c r="AH560" s="1"/>
      <c r="AI560" s="1"/>
      <c r="AJ560" s="1"/>
      <c r="AK560" s="1"/>
    </row>
    <row r="561" spans="1:15">
      <c r="A561" s="274"/>
      <c r="B561" s="274"/>
      <c r="C561" s="274"/>
      <c r="D561" s="274"/>
      <c r="E561" s="274"/>
      <c r="F561" s="274"/>
      <c r="G561" s="274"/>
      <c r="H561" s="275"/>
      <c r="I561" s="274"/>
      <c r="J561" s="274"/>
      <c r="K561" s="274"/>
      <c r="L561" s="274"/>
      <c r="M561" s="276"/>
      <c r="N561" s="274"/>
      <c r="O561" s="274"/>
    </row>
    <row r="562" spans="1:15">
      <c r="A562" s="274"/>
      <c r="B562" s="274"/>
      <c r="C562" s="274"/>
      <c r="D562" s="274"/>
      <c r="E562" s="274"/>
      <c r="F562" s="274"/>
      <c r="G562" s="274"/>
      <c r="H562" s="275"/>
      <c r="I562" s="274"/>
      <c r="J562" s="274"/>
      <c r="K562" s="274"/>
      <c r="L562" s="274"/>
      <c r="M562" s="276"/>
      <c r="N562" s="274"/>
      <c r="O562" s="274"/>
    </row>
    <row r="563" spans="1:15">
      <c r="N563" s="90"/>
      <c r="O563" s="90"/>
    </row>
    <row r="564" spans="1:15">
      <c r="N564" s="90"/>
      <c r="O564" s="90"/>
    </row>
    <row r="565" spans="1:15">
      <c r="N565" s="90"/>
      <c r="O565" s="90"/>
    </row>
    <row r="566" spans="1:15">
      <c r="N566" s="90"/>
      <c r="O566" s="90"/>
    </row>
    <row r="567" spans="1:15">
      <c r="N567" s="90"/>
      <c r="O567" s="90"/>
    </row>
    <row r="568" spans="1:15">
      <c r="N568" s="90"/>
      <c r="O568" s="90"/>
    </row>
    <row r="569" spans="1:15">
      <c r="N569" s="90"/>
      <c r="O569" s="90"/>
    </row>
    <row r="570" spans="1:15">
      <c r="N570" s="90"/>
      <c r="O570" s="90"/>
    </row>
  </sheetData>
  <sortState ref="Y52:Y86">
    <sortCondition ref="Y52:Y86"/>
  </sortState>
  <mergeCells count="127">
    <mergeCell ref="B123:F123"/>
    <mergeCell ref="B74:F74"/>
    <mergeCell ref="B75:F75"/>
    <mergeCell ref="J76:K76"/>
    <mergeCell ref="J77:K77"/>
    <mergeCell ref="J75:K75"/>
    <mergeCell ref="J74:K74"/>
    <mergeCell ref="H105:I105"/>
    <mergeCell ref="J105:K105"/>
    <mergeCell ref="B105:F105"/>
    <mergeCell ref="B104:K104"/>
    <mergeCell ref="C83:G83"/>
    <mergeCell ref="C84:G84"/>
    <mergeCell ref="B82:J82"/>
    <mergeCell ref="B81:J81"/>
    <mergeCell ref="C91:G91"/>
    <mergeCell ref="C92:G92"/>
    <mergeCell ref="B93:G93"/>
    <mergeCell ref="B58:I58"/>
    <mergeCell ref="B80:J80"/>
    <mergeCell ref="B79:K79"/>
    <mergeCell ref="B59:G59"/>
    <mergeCell ref="B60:G60"/>
    <mergeCell ref="B61:G61"/>
    <mergeCell ref="B62:G62"/>
    <mergeCell ref="B63:G63"/>
    <mergeCell ref="B64:G64"/>
    <mergeCell ref="B65:F65"/>
    <mergeCell ref="B66:G66"/>
    <mergeCell ref="B67:G67"/>
    <mergeCell ref="B68:G68"/>
    <mergeCell ref="B78:F78"/>
    <mergeCell ref="B73:F73"/>
    <mergeCell ref="B72:I72"/>
    <mergeCell ref="B69:E69"/>
    <mergeCell ref="B70:E70"/>
    <mergeCell ref="B71:E71"/>
    <mergeCell ref="F70:G70"/>
    <mergeCell ref="F71:G71"/>
    <mergeCell ref="A259:D259"/>
    <mergeCell ref="B6:F6"/>
    <mergeCell ref="A261:D261"/>
    <mergeCell ref="C85:G85"/>
    <mergeCell ref="B235:C235"/>
    <mergeCell ref="B236:C236"/>
    <mergeCell ref="C86:G86"/>
    <mergeCell ref="E161:K162"/>
    <mergeCell ref="E163:K164"/>
    <mergeCell ref="B238:C238"/>
    <mergeCell ref="B239:C239"/>
    <mergeCell ref="B240:C240"/>
    <mergeCell ref="B76:F76"/>
    <mergeCell ref="B77:F77"/>
    <mergeCell ref="F69:G69"/>
    <mergeCell ref="B7:F7"/>
    <mergeCell ref="B26:F26"/>
    <mergeCell ref="B27:F27"/>
    <mergeCell ref="B28:F28"/>
    <mergeCell ref="B29:F29"/>
    <mergeCell ref="C55:F55"/>
    <mergeCell ref="H34:I34"/>
    <mergeCell ref="H35:I35"/>
    <mergeCell ref="B33:L33"/>
    <mergeCell ref="B1:L1"/>
    <mergeCell ref="N165:O167"/>
    <mergeCell ref="K51:L51"/>
    <mergeCell ref="B106:E106"/>
    <mergeCell ref="B107:E107"/>
    <mergeCell ref="B108:E108"/>
    <mergeCell ref="C87:G87"/>
    <mergeCell ref="C88:G88"/>
    <mergeCell ref="C89:G89"/>
    <mergeCell ref="C90:G90"/>
    <mergeCell ref="G2:L2"/>
    <mergeCell ref="B2:F2"/>
    <mergeCell ref="B3:F3"/>
    <mergeCell ref="B4:F4"/>
    <mergeCell ref="B5:F5"/>
    <mergeCell ref="G3:L3"/>
    <mergeCell ref="G4:L4"/>
    <mergeCell ref="B38:E38"/>
    <mergeCell ref="B35:E35"/>
    <mergeCell ref="B34:E34"/>
    <mergeCell ref="C52:F52"/>
    <mergeCell ref="C53:F53"/>
    <mergeCell ref="H91:I91"/>
    <mergeCell ref="L75:L77"/>
    <mergeCell ref="C275:D275"/>
    <mergeCell ref="A244:F247"/>
    <mergeCell ref="A258:D258"/>
    <mergeCell ref="E259:H259"/>
    <mergeCell ref="A241:C241"/>
    <mergeCell ref="A242:C242"/>
    <mergeCell ref="A253:C253"/>
    <mergeCell ref="A254:C254"/>
    <mergeCell ref="A255:C255"/>
    <mergeCell ref="A262:D262"/>
    <mergeCell ref="A263:D263"/>
    <mergeCell ref="C268:D268"/>
    <mergeCell ref="C269:D269"/>
    <mergeCell ref="C273:D273"/>
    <mergeCell ref="C274:D274"/>
    <mergeCell ref="C272:D272"/>
    <mergeCell ref="E258:H258"/>
    <mergeCell ref="A252:C252"/>
    <mergeCell ref="A265:D265"/>
    <mergeCell ref="A266:D266"/>
    <mergeCell ref="C271:D271"/>
    <mergeCell ref="A260:D260"/>
    <mergeCell ref="C270:D270"/>
    <mergeCell ref="A264:D264"/>
    <mergeCell ref="B44:L44"/>
    <mergeCell ref="D48:F48"/>
    <mergeCell ref="D49:F49"/>
    <mergeCell ref="B39:E39"/>
    <mergeCell ref="B36:E36"/>
    <mergeCell ref="B37:E37"/>
    <mergeCell ref="C54:F54"/>
    <mergeCell ref="B50:L50"/>
    <mergeCell ref="J46:L46"/>
    <mergeCell ref="J47:L47"/>
    <mergeCell ref="J48:L48"/>
    <mergeCell ref="J49:L49"/>
    <mergeCell ref="J45:L45"/>
    <mergeCell ref="D45:F45"/>
    <mergeCell ref="D46:F46"/>
    <mergeCell ref="D47:F47"/>
  </mergeCells>
  <phoneticPr fontId="0" type="noConversion"/>
  <hyperlinks>
    <hyperlink ref="N510:O510" r:id="rId1" display="=@round(SUM(($H$805+H819)*$H$1471)/365*E6/100,-3)"/>
    <hyperlink ref="O515" r:id="rId2" display="=@round(F1372*$H$1497/365,-2)"/>
    <hyperlink ref="N515" r:id="rId3" display="=@round(F1372*$H$1497/365,-2)"/>
    <hyperlink ref="N510" r:id="rId4" display="=@round(SUM(($H$805+H819)*$H$1471)/365*E6/100,-3)"/>
    <hyperlink ref="O510" r:id="rId5" display="=@round(SUM(($H$805+H819)*$H$1471)/365*E6/100,-3)"/>
    <hyperlink ref="N511" r:id="rId6" display="=@round((+F1381-F1379-F1380)*$H$1479/365*H108/100,-2)"/>
    <hyperlink ref="O511" r:id="rId7" display="=@round((+F1381-F1379-F1380)*$H$1479/365*H108/100,-2)"/>
    <hyperlink ref="N512" r:id="rId8" display="=@round((+F1381-F1380-F1379)*$H$1480/365,-2)"/>
    <hyperlink ref="O512" r:id="rId9" display="=@round((+F1381-F1380-F1379)*$H$1480/365,-2)"/>
  </hyperlinks>
  <pageMargins left="0.65" right="0" top="0.65" bottom="0" header="0" footer="0"/>
  <pageSetup paperSize="9" scale="81" orientation="portrait" verticalDpi="180" r:id="rId10"/>
  <headerFooter alignWithMargins="0"/>
  <rowBreaks count="5" manualBreakCount="5">
    <brk id="56" max="11" man="1"/>
    <brk id="196" max="12" man="1"/>
    <brk id="408" max="16383" man="1"/>
    <brk id="452" max="16383" man="1"/>
    <brk id="505" max="11" man="1"/>
  </rowBreaks>
</worksheet>
</file>

<file path=xl/worksheets/sheet2.xml><?xml version="1.0" encoding="utf-8"?>
<worksheet xmlns="http://schemas.openxmlformats.org/spreadsheetml/2006/main" xmlns:r="http://schemas.openxmlformats.org/officeDocument/2006/relationships">
  <dimension ref="A1:BC3778"/>
  <sheetViews>
    <sheetView showZeros="0" tabSelected="1" workbookViewId="0"/>
  </sheetViews>
  <sheetFormatPr defaultRowHeight="12.75"/>
  <cols>
    <col min="1" max="1" width="2.85546875" style="123" customWidth="1"/>
    <col min="2" max="2" width="4.5703125" customWidth="1"/>
    <col min="3" max="3" width="4.85546875" customWidth="1"/>
    <col min="4" max="4" width="7.140625" customWidth="1"/>
    <col min="5" max="7" width="10.7109375" customWidth="1"/>
    <col min="8" max="12" width="11.28515625" customWidth="1"/>
    <col min="13" max="13" width="1.5703125" customWidth="1"/>
    <col min="14" max="14" width="1.5703125" style="90" customWidth="1"/>
    <col min="18" max="18" width="12.140625" customWidth="1"/>
    <col min="19" max="19" width="15.140625" customWidth="1"/>
    <col min="20" max="20" width="12.7109375" customWidth="1"/>
    <col min="21" max="21" width="11.42578125" bestFit="1" customWidth="1"/>
    <col min="22" max="22" width="11.42578125" customWidth="1"/>
    <col min="23" max="23" width="11.85546875" style="90" customWidth="1"/>
    <col min="24" max="24" width="12.140625" customWidth="1"/>
    <col min="25" max="25" width="10.42578125" customWidth="1"/>
    <col min="26" max="26" width="7.42578125" customWidth="1"/>
    <col min="29" max="29" width="12.5703125" customWidth="1"/>
    <col min="36" max="36" width="9.140625" style="90"/>
    <col min="55" max="55" width="9.140625" style="90"/>
  </cols>
  <sheetData>
    <row r="1" spans="1:34" ht="13.5" thickBot="1">
      <c r="A1" s="123" t="s">
        <v>92</v>
      </c>
      <c r="B1" s="90"/>
      <c r="C1" s="90"/>
      <c r="D1" s="90"/>
      <c r="E1" s="90"/>
      <c r="F1" s="90"/>
      <c r="G1" s="90"/>
      <c r="H1" s="101"/>
      <c r="I1" s="90"/>
      <c r="J1" s="90"/>
      <c r="K1" s="90"/>
      <c r="L1" s="90"/>
      <c r="M1" s="866"/>
      <c r="N1" s="864"/>
    </row>
    <row r="2" spans="1:34" ht="15.75">
      <c r="A2" s="124"/>
      <c r="B2" s="95"/>
      <c r="C2" s="96"/>
      <c r="D2" s="96"/>
      <c r="E2" s="96"/>
      <c r="F2" s="96"/>
      <c r="G2" s="96"/>
      <c r="H2" s="103"/>
      <c r="I2" s="96"/>
      <c r="J2" s="96"/>
      <c r="K2" s="96"/>
      <c r="L2" s="97"/>
      <c r="M2" s="866"/>
      <c r="N2" s="864"/>
    </row>
    <row r="3" spans="1:34" ht="15.75">
      <c r="A3" s="124"/>
      <c r="B3" s="98"/>
      <c r="C3" s="190"/>
      <c r="D3" s="190"/>
      <c r="E3" s="190"/>
      <c r="F3" s="190"/>
      <c r="G3" s="190"/>
      <c r="H3" s="191"/>
      <c r="I3" s="190"/>
      <c r="J3" s="190"/>
      <c r="K3" s="190"/>
      <c r="L3" s="192"/>
      <c r="M3" s="866"/>
      <c r="N3" s="864"/>
      <c r="O3" s="90"/>
      <c r="P3" s="90"/>
      <c r="Q3" s="90"/>
      <c r="R3" s="90"/>
      <c r="S3" s="90"/>
      <c r="T3" s="90"/>
      <c r="U3" s="90"/>
      <c r="V3" s="90"/>
    </row>
    <row r="4" spans="1:34" ht="26.25">
      <c r="A4" s="124"/>
      <c r="B4" s="1273" t="s">
        <v>273</v>
      </c>
      <c r="C4" s="1274"/>
      <c r="D4" s="1274"/>
      <c r="E4" s="1274"/>
      <c r="F4" s="1274"/>
      <c r="G4" s="1274"/>
      <c r="H4" s="1274"/>
      <c r="I4" s="1274"/>
      <c r="J4" s="1274"/>
      <c r="K4" s="1274"/>
      <c r="L4" s="1275"/>
      <c r="M4" s="866"/>
      <c r="N4" s="864"/>
      <c r="O4" s="90"/>
      <c r="P4" s="90"/>
      <c r="Q4" s="90"/>
      <c r="R4" s="90"/>
      <c r="S4" s="90"/>
      <c r="T4" s="90"/>
      <c r="U4" s="90"/>
      <c r="V4" s="90"/>
    </row>
    <row r="5" spans="1:34" ht="72" customHeight="1">
      <c r="A5" s="124"/>
      <c r="B5" s="1276" t="str">
        <f>+Report!G68</f>
        <v>MASALA / SPICES MAKING UNIT</v>
      </c>
      <c r="C5" s="1277"/>
      <c r="D5" s="1277"/>
      <c r="E5" s="1277"/>
      <c r="F5" s="1277"/>
      <c r="G5" s="1277"/>
      <c r="H5" s="1277"/>
      <c r="I5" s="1277"/>
      <c r="J5" s="1277"/>
      <c r="K5" s="1277"/>
      <c r="L5" s="1278"/>
      <c r="M5" s="866"/>
      <c r="N5" s="864"/>
      <c r="O5" s="90"/>
      <c r="P5" s="90"/>
      <c r="Q5" s="90"/>
      <c r="R5" s="90"/>
      <c r="S5" s="90"/>
      <c r="T5" s="90"/>
      <c r="U5" s="90"/>
      <c r="V5" s="90"/>
    </row>
    <row r="6" spans="1:34" ht="50.25" customHeight="1">
      <c r="A6" s="124"/>
      <c r="B6" s="1279"/>
      <c r="C6" s="1280"/>
      <c r="D6" s="1280"/>
      <c r="E6" s="1280"/>
      <c r="F6" s="1280"/>
      <c r="G6" s="1280"/>
      <c r="H6" s="1280"/>
      <c r="I6" s="1280"/>
      <c r="J6" s="1280"/>
      <c r="K6" s="1280"/>
      <c r="L6" s="1281"/>
      <c r="M6" s="866"/>
      <c r="N6" s="864"/>
      <c r="O6" s="90"/>
      <c r="P6" s="90"/>
      <c r="Q6" s="90"/>
      <c r="R6" s="90"/>
      <c r="S6" s="90"/>
      <c r="T6" s="90"/>
      <c r="U6" s="90"/>
      <c r="V6" s="90"/>
    </row>
    <row r="7" spans="1:34" ht="30">
      <c r="A7" s="124"/>
      <c r="B7" s="1294" t="s">
        <v>100</v>
      </c>
      <c r="C7" s="1295"/>
      <c r="D7" s="1295"/>
      <c r="E7" s="1295"/>
      <c r="F7" s="1295"/>
      <c r="G7" s="1295"/>
      <c r="H7" s="1295"/>
      <c r="I7" s="1295"/>
      <c r="J7" s="1295"/>
      <c r="K7" s="1295"/>
      <c r="L7" s="1296"/>
      <c r="M7" s="866"/>
      <c r="N7" s="864"/>
      <c r="O7" s="90"/>
      <c r="P7" s="90"/>
      <c r="Q7" s="90"/>
      <c r="R7" s="90"/>
      <c r="S7" s="90"/>
      <c r="T7" s="90"/>
      <c r="U7" s="90"/>
      <c r="V7" s="90"/>
    </row>
    <row r="8" spans="1:34" ht="15.75" customHeight="1">
      <c r="A8" s="124"/>
      <c r="B8" s="1297" t="str">
        <f>+'Data Feeding'!E170</f>
        <v>M/s. SAI VENKATESWARA MASALA POWDERS</v>
      </c>
      <c r="C8" s="1298"/>
      <c r="D8" s="1298"/>
      <c r="E8" s="1298"/>
      <c r="F8" s="1298"/>
      <c r="G8" s="1298"/>
      <c r="H8" s="1298"/>
      <c r="I8" s="1298"/>
      <c r="J8" s="1298"/>
      <c r="K8" s="1298"/>
      <c r="L8" s="1299"/>
      <c r="M8" s="866"/>
      <c r="N8" s="864"/>
      <c r="O8" s="90"/>
      <c r="P8" s="90"/>
      <c r="Q8" s="90"/>
      <c r="R8" s="90"/>
      <c r="S8" s="90"/>
      <c r="T8" s="90"/>
      <c r="U8" s="90"/>
      <c r="V8" s="90"/>
    </row>
    <row r="9" spans="1:34" ht="18" customHeight="1">
      <c r="A9" s="125"/>
      <c r="B9" s="1300"/>
      <c r="C9" s="1301"/>
      <c r="D9" s="1301"/>
      <c r="E9" s="1301"/>
      <c r="F9" s="1301"/>
      <c r="G9" s="1301"/>
      <c r="H9" s="1301"/>
      <c r="I9" s="1301"/>
      <c r="J9" s="1301"/>
      <c r="K9" s="1301"/>
      <c r="L9" s="1302"/>
      <c r="M9" s="866"/>
      <c r="N9" s="864"/>
      <c r="O9" s="90"/>
      <c r="P9" s="90"/>
      <c r="Q9" s="90"/>
      <c r="R9" s="90"/>
      <c r="S9" s="90"/>
      <c r="T9" s="90"/>
      <c r="U9" s="90"/>
      <c r="V9" s="90"/>
    </row>
    <row r="10" spans="1:34" ht="17.25" customHeight="1">
      <c r="A10" s="124"/>
      <c r="B10" s="1300"/>
      <c r="C10" s="1301"/>
      <c r="D10" s="1301"/>
      <c r="E10" s="1301"/>
      <c r="F10" s="1301"/>
      <c r="G10" s="1301"/>
      <c r="H10" s="1301"/>
      <c r="I10" s="1301"/>
      <c r="J10" s="1301"/>
      <c r="K10" s="1301"/>
      <c r="L10" s="1302"/>
      <c r="M10" s="866"/>
      <c r="N10" s="864"/>
      <c r="O10" s="90"/>
      <c r="P10" s="90"/>
      <c r="Q10" s="90"/>
      <c r="R10" s="90"/>
      <c r="S10" s="90"/>
      <c r="T10" s="90"/>
      <c r="U10" s="90"/>
      <c r="V10" s="90"/>
    </row>
    <row r="11" spans="1:34" ht="15.75" customHeight="1">
      <c r="A11" s="124"/>
      <c r="B11" s="1300"/>
      <c r="C11" s="1301"/>
      <c r="D11" s="1301"/>
      <c r="E11" s="1301"/>
      <c r="F11" s="1301"/>
      <c r="G11" s="1301"/>
      <c r="H11" s="1301"/>
      <c r="I11" s="1301"/>
      <c r="J11" s="1301"/>
      <c r="K11" s="1301"/>
      <c r="L11" s="1302"/>
      <c r="M11" s="866"/>
      <c r="N11" s="864"/>
      <c r="O11" s="90"/>
      <c r="P11" s="90"/>
      <c r="Q11" s="90"/>
      <c r="R11" s="90"/>
      <c r="S11" s="90"/>
      <c r="T11" s="90"/>
      <c r="U11" s="90"/>
      <c r="V11" s="90"/>
    </row>
    <row r="12" spans="1:34" ht="15.75" customHeight="1">
      <c r="A12" s="124"/>
      <c r="B12" s="1300"/>
      <c r="C12" s="1301"/>
      <c r="D12" s="1301"/>
      <c r="E12" s="1301"/>
      <c r="F12" s="1301"/>
      <c r="G12" s="1301"/>
      <c r="H12" s="1301"/>
      <c r="I12" s="1301"/>
      <c r="J12" s="1301"/>
      <c r="K12" s="1301"/>
      <c r="L12" s="1302"/>
      <c r="M12" s="866"/>
      <c r="N12" s="864"/>
      <c r="O12" s="90"/>
      <c r="P12" s="90"/>
      <c r="Q12" s="90"/>
      <c r="R12" s="90"/>
      <c r="S12" s="90"/>
      <c r="T12" s="90"/>
      <c r="U12" s="90"/>
      <c r="V12" s="90"/>
      <c r="AH12" s="1027">
        <f ca="1">IF(+TODAY()&gt;=O3079,0,+AF12)</f>
        <v>0</v>
      </c>
    </row>
    <row r="13" spans="1:34" ht="15.75" customHeight="1">
      <c r="A13" s="124"/>
      <c r="B13" s="1300"/>
      <c r="C13" s="1301"/>
      <c r="D13" s="1301"/>
      <c r="E13" s="1301"/>
      <c r="F13" s="1301"/>
      <c r="G13" s="1301"/>
      <c r="H13" s="1301"/>
      <c r="I13" s="1301"/>
      <c r="J13" s="1301"/>
      <c r="K13" s="1301"/>
      <c r="L13" s="1302"/>
      <c r="M13" s="866"/>
      <c r="N13" s="864"/>
      <c r="O13" s="90"/>
      <c r="P13" s="90"/>
      <c r="Q13" s="90"/>
      <c r="R13" s="90"/>
      <c r="S13" s="90"/>
      <c r="T13" s="90"/>
      <c r="U13" s="90"/>
      <c r="V13" s="90"/>
      <c r="AH13" s="1027">
        <f ca="1">IF(+TODAY()&gt;=O3185,+P3185,+AF13)</f>
        <v>1.01</v>
      </c>
    </row>
    <row r="14" spans="1:34" ht="15.75" customHeight="1">
      <c r="A14" s="124"/>
      <c r="B14" s="1300"/>
      <c r="C14" s="1301"/>
      <c r="D14" s="1301"/>
      <c r="E14" s="1301"/>
      <c r="F14" s="1301"/>
      <c r="G14" s="1301"/>
      <c r="H14" s="1301"/>
      <c r="I14" s="1301"/>
      <c r="J14" s="1301"/>
      <c r="K14" s="1301"/>
      <c r="L14" s="1302"/>
      <c r="M14" s="866"/>
      <c r="N14" s="864"/>
      <c r="O14" s="90"/>
      <c r="P14" s="90"/>
      <c r="Q14" s="90"/>
      <c r="R14" s="90"/>
      <c r="S14" s="90"/>
      <c r="T14" s="90"/>
      <c r="U14" s="90"/>
      <c r="V14" s="90"/>
      <c r="AH14" s="1027">
        <f ca="1">IF(+TODAY()&gt;=O3265,+P3265,+AF14)</f>
        <v>1.03</v>
      </c>
    </row>
    <row r="15" spans="1:34" ht="15.75" customHeight="1">
      <c r="A15" s="124"/>
      <c r="B15" s="1300"/>
      <c r="C15" s="1301"/>
      <c r="D15" s="1301"/>
      <c r="E15" s="1301"/>
      <c r="F15" s="1301"/>
      <c r="G15" s="1301"/>
      <c r="H15" s="1301"/>
      <c r="I15" s="1301"/>
      <c r="J15" s="1301"/>
      <c r="K15" s="1301"/>
      <c r="L15" s="1302"/>
      <c r="M15" s="866"/>
      <c r="N15" s="864"/>
      <c r="O15" s="90"/>
      <c r="P15" s="90"/>
      <c r="Q15" s="90"/>
      <c r="R15" s="90"/>
      <c r="S15" s="90"/>
      <c r="T15" s="90"/>
      <c r="U15" s="90"/>
      <c r="V15" s="90"/>
      <c r="AH15" s="1027">
        <f ca="1">IF(+TODAY()&gt;=O3345,+P3345,+AF15)</f>
        <v>6762.7711530000206</v>
      </c>
    </row>
    <row r="16" spans="1:34" ht="15.75" customHeight="1">
      <c r="A16" s="124"/>
      <c r="B16" s="1303"/>
      <c r="C16" s="1304"/>
      <c r="D16" s="1304"/>
      <c r="E16" s="1304"/>
      <c r="F16" s="1304"/>
      <c r="G16" s="1304"/>
      <c r="H16" s="1304"/>
      <c r="I16" s="1304"/>
      <c r="J16" s="1304"/>
      <c r="K16" s="1304"/>
      <c r="L16" s="1305"/>
      <c r="M16" s="866"/>
      <c r="N16" s="864"/>
      <c r="O16" s="90"/>
      <c r="P16" s="90"/>
      <c r="Q16" s="90"/>
      <c r="R16" s="90"/>
      <c r="S16" s="90"/>
      <c r="T16" s="90"/>
      <c r="U16" s="90"/>
      <c r="V16" s="90"/>
      <c r="AH16" s="1027">
        <f ca="1">IF(+TODAY()&gt;=O3452,+P3452,+AF16)</f>
        <v>7781.7266237500244</v>
      </c>
    </row>
    <row r="17" spans="1:47" ht="15.75" customHeight="1">
      <c r="A17" s="124"/>
      <c r="B17" s="1306" t="str">
        <f>+'Data Feeding'!E171</f>
        <v>Mr. UTTAM  KRISHNAIH</v>
      </c>
      <c r="C17" s="1307"/>
      <c r="D17" s="1307"/>
      <c r="E17" s="1307"/>
      <c r="F17" s="1307"/>
      <c r="G17" s="1307"/>
      <c r="H17" s="1307"/>
      <c r="I17" s="1307"/>
      <c r="J17" s="1307"/>
      <c r="K17" s="1307"/>
      <c r="L17" s="1308"/>
      <c r="M17" s="866"/>
      <c r="N17" s="864"/>
      <c r="O17" s="90"/>
      <c r="P17" s="90"/>
      <c r="Q17" s="90"/>
      <c r="R17" s="90"/>
      <c r="S17" s="90"/>
      <c r="T17" s="90"/>
      <c r="U17" s="90"/>
      <c r="V17" s="90"/>
      <c r="AF17" s="122"/>
      <c r="AG17" s="122"/>
      <c r="AH17" s="1027">
        <f ca="1">IF(+TODAY()&gt;=O3533,+P3533,+AF17)</f>
        <v>1738</v>
      </c>
    </row>
    <row r="18" spans="1:47" ht="15.75" customHeight="1">
      <c r="A18" s="124"/>
      <c r="B18" s="1309"/>
      <c r="C18" s="1310"/>
      <c r="D18" s="1310"/>
      <c r="E18" s="1310"/>
      <c r="F18" s="1310"/>
      <c r="G18" s="1310"/>
      <c r="H18" s="1310"/>
      <c r="I18" s="1310"/>
      <c r="J18" s="1310"/>
      <c r="K18" s="1310"/>
      <c r="L18" s="1311"/>
      <c r="M18" s="866"/>
      <c r="N18" s="864"/>
      <c r="O18" s="90"/>
      <c r="P18" s="90"/>
      <c r="Q18" s="90"/>
      <c r="R18" s="90"/>
      <c r="S18" s="90"/>
      <c r="T18" s="90"/>
      <c r="U18" s="90"/>
      <c r="V18" s="90"/>
      <c r="X18" s="90"/>
      <c r="Y18" s="90"/>
      <c r="Z18" s="90"/>
      <c r="AA18" s="90"/>
      <c r="AB18" s="90"/>
      <c r="AC18" s="90"/>
      <c r="AD18" s="90"/>
      <c r="AE18" s="90"/>
      <c r="AF18" s="90"/>
      <c r="AG18" s="90"/>
      <c r="AH18" s="90"/>
      <c r="AI18" s="90"/>
      <c r="AK18" s="90"/>
      <c r="AL18" s="90"/>
      <c r="AM18" s="90"/>
      <c r="AN18" s="90"/>
      <c r="AO18" s="90"/>
      <c r="AP18" s="90"/>
      <c r="AQ18" s="90"/>
      <c r="AR18" s="90"/>
      <c r="AS18" s="90"/>
      <c r="AT18" s="90"/>
      <c r="AU18" s="90"/>
    </row>
    <row r="19" spans="1:47" ht="15.75" customHeight="1">
      <c r="A19" s="124"/>
      <c r="B19" s="1309"/>
      <c r="C19" s="1310"/>
      <c r="D19" s="1310"/>
      <c r="E19" s="1310"/>
      <c r="F19" s="1310"/>
      <c r="G19" s="1310"/>
      <c r="H19" s="1310"/>
      <c r="I19" s="1310"/>
      <c r="J19" s="1310"/>
      <c r="K19" s="1310"/>
      <c r="L19" s="1311"/>
      <c r="M19" s="866"/>
      <c r="N19" s="864"/>
      <c r="O19" s="90"/>
      <c r="P19" s="90"/>
      <c r="Q19" s="90"/>
      <c r="R19" s="90"/>
      <c r="S19" s="90"/>
      <c r="T19" s="90"/>
      <c r="U19" s="90"/>
      <c r="V19" s="90"/>
      <c r="X19" s="90"/>
      <c r="Y19" s="90"/>
      <c r="Z19" s="90"/>
      <c r="AA19" s="90"/>
      <c r="AB19" s="90"/>
      <c r="AC19" s="90"/>
      <c r="AD19" s="90"/>
      <c r="AE19" s="90"/>
      <c r="AF19" s="90"/>
      <c r="AG19" s="90"/>
      <c r="AH19" s="90"/>
      <c r="AI19" s="90"/>
      <c r="AK19" s="90"/>
      <c r="AL19" s="90"/>
      <c r="AM19" s="90"/>
      <c r="AN19" s="90"/>
      <c r="AO19" s="90"/>
      <c r="AP19" s="90"/>
      <c r="AQ19" s="90"/>
      <c r="AR19" s="90"/>
      <c r="AS19" s="90"/>
      <c r="AT19" s="90"/>
      <c r="AU19" s="90"/>
    </row>
    <row r="20" spans="1:47" ht="15.75" customHeight="1">
      <c r="A20" s="124"/>
      <c r="B20" s="1309"/>
      <c r="C20" s="1310"/>
      <c r="D20" s="1310"/>
      <c r="E20" s="1310"/>
      <c r="F20" s="1310"/>
      <c r="G20" s="1310"/>
      <c r="H20" s="1310"/>
      <c r="I20" s="1310"/>
      <c r="J20" s="1310"/>
      <c r="K20" s="1310"/>
      <c r="L20" s="1311"/>
      <c r="M20" s="866"/>
      <c r="N20" s="864"/>
      <c r="O20" s="90"/>
      <c r="P20" s="90"/>
      <c r="Q20" s="90"/>
      <c r="R20" s="90"/>
      <c r="S20" s="90"/>
      <c r="T20" s="90"/>
      <c r="U20" s="90"/>
      <c r="V20" s="90"/>
      <c r="X20" s="90"/>
      <c r="Y20" s="90"/>
      <c r="Z20" s="90"/>
      <c r="AA20" s="90"/>
      <c r="AB20" s="90"/>
      <c r="AC20" s="90"/>
      <c r="AD20" s="90"/>
      <c r="AE20" s="90"/>
      <c r="AF20" s="90"/>
      <c r="AG20" s="90"/>
      <c r="AH20" s="90"/>
      <c r="AI20" s="90"/>
      <c r="AK20" s="90"/>
      <c r="AL20" s="90"/>
      <c r="AM20" s="90"/>
      <c r="AN20" s="90"/>
      <c r="AO20" s="90"/>
      <c r="AP20" s="90"/>
      <c r="AQ20" s="90"/>
      <c r="AR20" s="90"/>
      <c r="AS20" s="90"/>
      <c r="AT20" s="90"/>
      <c r="AU20" s="90"/>
    </row>
    <row r="21" spans="1:47" ht="15.95" customHeight="1">
      <c r="A21" s="124"/>
      <c r="B21" s="1309"/>
      <c r="C21" s="1310"/>
      <c r="D21" s="1310"/>
      <c r="E21" s="1310"/>
      <c r="F21" s="1310"/>
      <c r="G21" s="1310"/>
      <c r="H21" s="1310"/>
      <c r="I21" s="1310"/>
      <c r="J21" s="1310"/>
      <c r="K21" s="1310"/>
      <c r="L21" s="1311"/>
      <c r="M21" s="866"/>
      <c r="N21" s="864"/>
      <c r="O21" s="90"/>
      <c r="P21" s="90"/>
      <c r="Q21" s="90"/>
      <c r="R21" s="90"/>
      <c r="S21" s="90"/>
      <c r="T21" s="90"/>
      <c r="U21" s="90"/>
      <c r="V21" s="90"/>
      <c r="X21" s="90"/>
      <c r="Y21" s="90"/>
      <c r="Z21" s="90"/>
      <c r="AA21" s="90"/>
      <c r="AB21" s="90"/>
      <c r="AC21" s="90"/>
      <c r="AD21" s="90"/>
      <c r="AE21" s="90"/>
      <c r="AF21" s="90"/>
      <c r="AG21" s="90"/>
      <c r="AH21" s="90"/>
      <c r="AI21" s="90"/>
      <c r="AK21" s="90"/>
      <c r="AL21" s="90"/>
      <c r="AM21" s="90"/>
      <c r="AN21" s="90"/>
      <c r="AO21" s="90"/>
      <c r="AP21" s="90"/>
      <c r="AQ21" s="90"/>
      <c r="AR21" s="90"/>
      <c r="AS21" s="90"/>
      <c r="AT21" s="90"/>
      <c r="AU21" s="90"/>
    </row>
    <row r="22" spans="1:47" ht="15.95" customHeight="1">
      <c r="A22" s="124"/>
      <c r="B22" s="1312"/>
      <c r="C22" s="1313"/>
      <c r="D22" s="1313"/>
      <c r="E22" s="1313"/>
      <c r="F22" s="1313"/>
      <c r="G22" s="1313"/>
      <c r="H22" s="1313"/>
      <c r="I22" s="1313"/>
      <c r="J22" s="1313"/>
      <c r="K22" s="1313"/>
      <c r="L22" s="1314"/>
      <c r="M22" s="866"/>
      <c r="N22" s="864"/>
      <c r="O22" s="90"/>
      <c r="P22" s="90"/>
      <c r="Q22" s="90"/>
      <c r="R22" s="90"/>
      <c r="S22" s="90"/>
      <c r="T22" s="90"/>
      <c r="U22" s="90"/>
      <c r="V22" s="90"/>
      <c r="X22" s="90"/>
      <c r="Y22" s="90"/>
      <c r="Z22" s="90"/>
      <c r="AA22" s="90"/>
      <c r="AB22" s="90"/>
      <c r="AC22" s="90"/>
      <c r="AD22" s="90"/>
      <c r="AE22" s="90"/>
      <c r="AF22" s="90"/>
      <c r="AG22" s="90"/>
      <c r="AH22" s="90"/>
      <c r="AI22" s="90"/>
      <c r="AK22" s="90"/>
      <c r="AL22" s="90"/>
      <c r="AM22" s="90"/>
      <c r="AN22" s="90"/>
      <c r="AO22" s="90"/>
      <c r="AP22" s="90"/>
      <c r="AQ22" s="90"/>
      <c r="AR22" s="90"/>
      <c r="AS22" s="90"/>
      <c r="AT22" s="90"/>
      <c r="AU22" s="90"/>
    </row>
    <row r="23" spans="1:47" ht="15.95" customHeight="1">
      <c r="A23" s="124"/>
      <c r="B23" s="1315" t="str">
        <f>CONCATENATE("Unit address:   ",'Data Feeding'!E163,)</f>
        <v>Unit address:   Sy.No: 199/a,  Near HP Petrol pump, Abdullapurmet,  Peddaamberpet in Ranga Reddy (Dt)., of Telangana</v>
      </c>
      <c r="C23" s="1316"/>
      <c r="D23" s="1316"/>
      <c r="E23" s="1316"/>
      <c r="F23" s="1316"/>
      <c r="G23" s="1316"/>
      <c r="H23" s="1316"/>
      <c r="I23" s="1316"/>
      <c r="J23" s="1316"/>
      <c r="K23" s="1316"/>
      <c r="L23" s="1317"/>
      <c r="M23" s="866"/>
      <c r="N23" s="864"/>
      <c r="O23" s="90"/>
      <c r="P23" s="90"/>
      <c r="Q23" s="90"/>
      <c r="R23" s="90"/>
      <c r="S23" s="90"/>
      <c r="T23" s="90"/>
      <c r="U23" s="90"/>
      <c r="V23" s="90"/>
      <c r="X23" s="90"/>
      <c r="Y23" s="90"/>
      <c r="Z23" s="90"/>
      <c r="AA23" s="90"/>
      <c r="AB23" s="90"/>
      <c r="AC23" s="90"/>
      <c r="AD23" s="90"/>
      <c r="AE23" s="90"/>
      <c r="AF23" s="90"/>
      <c r="AG23" s="90"/>
      <c r="AH23" s="90"/>
      <c r="AI23" s="90"/>
      <c r="AK23" s="90"/>
      <c r="AL23" s="90"/>
      <c r="AM23" s="90"/>
      <c r="AN23" s="90"/>
      <c r="AO23" s="90"/>
      <c r="AP23" s="90"/>
      <c r="AQ23" s="90"/>
      <c r="AR23" s="90"/>
      <c r="AS23" s="90"/>
      <c r="AT23" s="90"/>
      <c r="AU23" s="90"/>
    </row>
    <row r="24" spans="1:47" ht="15.95" customHeight="1">
      <c r="A24" s="124"/>
      <c r="B24" s="1318"/>
      <c r="C24" s="1319"/>
      <c r="D24" s="1319"/>
      <c r="E24" s="1319"/>
      <c r="F24" s="1319"/>
      <c r="G24" s="1319"/>
      <c r="H24" s="1319"/>
      <c r="I24" s="1319"/>
      <c r="J24" s="1319"/>
      <c r="K24" s="1319"/>
      <c r="L24" s="1320"/>
      <c r="M24" s="866"/>
      <c r="N24" s="864"/>
      <c r="O24" s="90"/>
      <c r="P24" s="90"/>
      <c r="Q24" s="90"/>
      <c r="R24" s="90"/>
      <c r="S24" s="90"/>
      <c r="T24" s="90"/>
      <c r="U24" s="90"/>
      <c r="V24" s="90"/>
      <c r="X24" s="90"/>
      <c r="Y24" s="90"/>
      <c r="Z24" s="90"/>
      <c r="AA24" s="90"/>
      <c r="AB24" s="90"/>
      <c r="AC24" s="90"/>
      <c r="AD24" s="90"/>
      <c r="AE24" s="90"/>
      <c r="AF24" s="90"/>
      <c r="AG24" s="90"/>
      <c r="AH24" s="90"/>
      <c r="AI24" s="90"/>
      <c r="AK24" s="90"/>
      <c r="AL24" s="90"/>
      <c r="AM24" s="90"/>
      <c r="AN24" s="90"/>
      <c r="AO24" s="90"/>
      <c r="AP24" s="90"/>
      <c r="AQ24" s="90"/>
      <c r="AR24" s="90"/>
      <c r="AS24" s="90"/>
      <c r="AT24" s="90"/>
      <c r="AU24" s="90"/>
    </row>
    <row r="25" spans="1:47" ht="15.75">
      <c r="A25" s="124"/>
      <c r="B25" s="1318"/>
      <c r="C25" s="1319"/>
      <c r="D25" s="1319"/>
      <c r="E25" s="1319"/>
      <c r="F25" s="1319"/>
      <c r="G25" s="1319"/>
      <c r="H25" s="1319"/>
      <c r="I25" s="1319"/>
      <c r="J25" s="1319"/>
      <c r="K25" s="1319"/>
      <c r="L25" s="1320"/>
      <c r="M25" s="866"/>
      <c r="N25" s="864"/>
      <c r="O25" s="90"/>
      <c r="P25" s="90"/>
      <c r="Q25" s="90"/>
      <c r="R25" s="90"/>
      <c r="S25" s="90"/>
      <c r="T25" s="90"/>
      <c r="U25" s="90"/>
      <c r="V25" s="90"/>
      <c r="AA25" s="122"/>
      <c r="AB25" s="122"/>
      <c r="AC25" s="1004"/>
      <c r="AD25" s="1004"/>
      <c r="AE25" s="122"/>
      <c r="AF25" s="122"/>
      <c r="AG25" s="122"/>
      <c r="AH25" s="122"/>
      <c r="AI25" s="122"/>
      <c r="AJ25" s="122"/>
      <c r="AK25" s="122"/>
    </row>
    <row r="26" spans="1:47" ht="15.75">
      <c r="A26" s="124"/>
      <c r="B26" s="1318"/>
      <c r="C26" s="1319"/>
      <c r="D26" s="1319"/>
      <c r="E26" s="1319"/>
      <c r="F26" s="1319"/>
      <c r="G26" s="1319"/>
      <c r="H26" s="1319"/>
      <c r="I26" s="1319"/>
      <c r="J26" s="1319"/>
      <c r="K26" s="1319"/>
      <c r="L26" s="1320"/>
      <c r="M26" s="866"/>
      <c r="N26" s="864"/>
      <c r="O26" s="90"/>
      <c r="P26" s="90"/>
      <c r="Q26" s="90"/>
      <c r="R26" s="90"/>
      <c r="S26" s="90"/>
      <c r="T26" s="90"/>
      <c r="U26" s="90"/>
      <c r="V26" s="90"/>
      <c r="AA26" s="122"/>
      <c r="AB26" s="122"/>
      <c r="AC26" s="1004"/>
      <c r="AD26" s="1004"/>
      <c r="AE26" s="122"/>
      <c r="AF26" s="122"/>
      <c r="AG26" s="122"/>
      <c r="AH26" s="122"/>
      <c r="AI26" s="122"/>
      <c r="AJ26" s="122"/>
      <c r="AK26" s="122"/>
    </row>
    <row r="27" spans="1:47" ht="15.75">
      <c r="A27" s="124"/>
      <c r="B27" s="1318"/>
      <c r="C27" s="1319"/>
      <c r="D27" s="1319"/>
      <c r="E27" s="1319"/>
      <c r="F27" s="1319"/>
      <c r="G27" s="1319"/>
      <c r="H27" s="1319"/>
      <c r="I27" s="1319"/>
      <c r="J27" s="1319"/>
      <c r="K27" s="1319"/>
      <c r="L27" s="1320"/>
      <c r="M27" s="866"/>
      <c r="N27" s="864"/>
      <c r="O27" s="90"/>
      <c r="P27" s="90"/>
      <c r="Q27" s="90"/>
      <c r="R27" s="90"/>
      <c r="S27" s="90"/>
      <c r="T27" s="90"/>
      <c r="U27" s="90"/>
      <c r="V27" s="90"/>
      <c r="AA27" s="122"/>
      <c r="AB27" s="122"/>
      <c r="AC27" s="1004"/>
      <c r="AD27" s="1004"/>
      <c r="AE27" s="122"/>
      <c r="AF27" s="122"/>
      <c r="AG27" s="122"/>
      <c r="AH27" s="122"/>
      <c r="AI27" s="122"/>
      <c r="AJ27" s="122"/>
      <c r="AK27" s="122"/>
    </row>
    <row r="28" spans="1:47" ht="15.75">
      <c r="A28" s="124"/>
      <c r="B28" s="1318"/>
      <c r="C28" s="1319"/>
      <c r="D28" s="1319"/>
      <c r="E28" s="1319"/>
      <c r="F28" s="1319"/>
      <c r="G28" s="1319"/>
      <c r="H28" s="1319"/>
      <c r="I28" s="1319"/>
      <c r="J28" s="1319"/>
      <c r="K28" s="1319"/>
      <c r="L28" s="1320"/>
      <c r="M28" s="866"/>
      <c r="N28" s="864"/>
      <c r="O28" s="90"/>
      <c r="P28" s="90"/>
      <c r="Q28" s="90"/>
      <c r="R28" s="90"/>
      <c r="S28" s="90"/>
      <c r="T28" s="90"/>
      <c r="U28" s="90"/>
      <c r="V28" s="90"/>
      <c r="AA28" s="122"/>
      <c r="AB28" s="122"/>
      <c r="AC28" s="122"/>
      <c r="AD28" s="122"/>
      <c r="AE28" s="122"/>
      <c r="AF28" s="122"/>
      <c r="AG28" s="122"/>
      <c r="AH28" s="122"/>
      <c r="AI28" s="122"/>
      <c r="AJ28" s="122"/>
      <c r="AK28" s="122"/>
    </row>
    <row r="29" spans="1:47" ht="15.75">
      <c r="A29" s="124"/>
      <c r="B29" s="1321"/>
      <c r="C29" s="1322"/>
      <c r="D29" s="1322"/>
      <c r="E29" s="1322"/>
      <c r="F29" s="1322"/>
      <c r="G29" s="1322"/>
      <c r="H29" s="1322"/>
      <c r="I29" s="1322"/>
      <c r="J29" s="1322"/>
      <c r="K29" s="1322"/>
      <c r="L29" s="1323"/>
      <c r="M29" s="866"/>
      <c r="N29" s="864"/>
      <c r="O29" s="90"/>
      <c r="P29" s="90"/>
      <c r="Q29" s="90"/>
      <c r="R29" s="90"/>
      <c r="S29" s="90"/>
      <c r="T29" s="90"/>
      <c r="U29" s="90"/>
      <c r="V29" s="90"/>
      <c r="AA29" s="122"/>
      <c r="AB29" s="122"/>
      <c r="AC29" s="122"/>
      <c r="AD29" s="122"/>
      <c r="AE29" s="122"/>
      <c r="AF29" s="122"/>
      <c r="AG29" s="122"/>
      <c r="AH29" s="122"/>
      <c r="AI29" s="122"/>
      <c r="AJ29" s="122"/>
      <c r="AK29" s="122"/>
    </row>
    <row r="30" spans="1:47" ht="15.75">
      <c r="A30" s="124"/>
      <c r="B30" s="193" t="s">
        <v>433</v>
      </c>
      <c r="C30" s="93"/>
      <c r="D30" s="93"/>
      <c r="E30" s="93" t="s">
        <v>101</v>
      </c>
      <c r="F30" s="93"/>
      <c r="G30" s="93"/>
      <c r="H30" s="104"/>
      <c r="I30" s="93"/>
      <c r="J30" s="93"/>
      <c r="K30" s="93"/>
      <c r="L30" s="50"/>
      <c r="M30" s="866"/>
      <c r="N30" s="864"/>
      <c r="O30" s="90"/>
      <c r="P30" s="90"/>
      <c r="Q30" s="90"/>
      <c r="R30" s="90"/>
      <c r="S30" s="90"/>
      <c r="T30" s="90"/>
      <c r="U30" s="90"/>
      <c r="V30" s="90"/>
      <c r="AA30" s="122"/>
      <c r="AB30" s="122"/>
      <c r="AC30" s="122"/>
      <c r="AD30" s="122"/>
      <c r="AE30" s="122"/>
      <c r="AF30" s="122"/>
      <c r="AG30" s="122"/>
      <c r="AH30" s="122"/>
      <c r="AI30" s="122"/>
      <c r="AJ30" s="122"/>
      <c r="AK30" s="122"/>
    </row>
    <row r="31" spans="1:47" ht="15.95" customHeight="1">
      <c r="A31" s="124"/>
      <c r="B31" s="193"/>
      <c r="C31" s="93"/>
      <c r="D31" s="93"/>
      <c r="E31" s="93"/>
      <c r="F31" s="93"/>
      <c r="G31" s="93"/>
      <c r="H31" s="104"/>
      <c r="I31" s="93"/>
      <c r="J31" s="93"/>
      <c r="K31" s="93"/>
      <c r="L31" s="50"/>
      <c r="M31" s="866"/>
      <c r="N31" s="864"/>
      <c r="O31" s="90"/>
      <c r="P31" s="90"/>
      <c r="Q31" s="90"/>
      <c r="R31" s="90"/>
      <c r="S31" s="90"/>
      <c r="T31" s="90"/>
      <c r="U31" s="90"/>
      <c r="V31" s="90"/>
      <c r="AA31" s="122">
        <v>0</v>
      </c>
      <c r="AB31" s="122"/>
      <c r="AC31" s="122"/>
      <c r="AD31" s="122"/>
      <c r="AE31" s="122"/>
      <c r="AF31" s="122"/>
      <c r="AG31" s="122"/>
      <c r="AH31" s="122"/>
      <c r="AI31" s="122"/>
      <c r="AJ31" s="122"/>
      <c r="AK31" s="122"/>
    </row>
    <row r="32" spans="1:47" ht="18" customHeight="1">
      <c r="A32" s="124"/>
      <c r="B32" s="194"/>
      <c r="C32" s="4">
        <v>1</v>
      </c>
      <c r="D32" s="18"/>
      <c r="E32" s="74" t="s">
        <v>432</v>
      </c>
      <c r="F32" s="19"/>
      <c r="G32" s="19"/>
      <c r="H32" s="64"/>
      <c r="I32" s="19"/>
      <c r="J32" s="19"/>
      <c r="K32" s="19"/>
      <c r="L32" s="49"/>
      <c r="M32" s="866"/>
      <c r="N32" s="864"/>
      <c r="O32" s="90"/>
      <c r="P32" s="90"/>
      <c r="Q32" s="90"/>
      <c r="R32" s="90"/>
      <c r="S32" s="90"/>
      <c r="T32" s="90"/>
      <c r="U32" s="90"/>
      <c r="V32" s="90"/>
      <c r="X32" s="122"/>
      <c r="Y32" s="122"/>
      <c r="Z32" s="122"/>
      <c r="AA32" s="122"/>
      <c r="AB32" s="122"/>
      <c r="AC32" s="122"/>
      <c r="AD32" s="122"/>
      <c r="AE32" s="122"/>
      <c r="AF32" s="122"/>
      <c r="AG32" s="122"/>
      <c r="AH32" s="122"/>
      <c r="AI32" s="122"/>
      <c r="AJ32" s="122"/>
      <c r="AK32" s="122"/>
    </row>
    <row r="33" spans="1:37" ht="18" customHeight="1">
      <c r="A33" s="124"/>
      <c r="B33" s="194"/>
      <c r="C33" s="4">
        <f t="shared" ref="C33:C34" si="0">+C32+1</f>
        <v>2</v>
      </c>
      <c r="D33" s="18"/>
      <c r="E33" s="74" t="s">
        <v>426</v>
      </c>
      <c r="F33" s="19"/>
      <c r="G33" s="19"/>
      <c r="H33" s="64"/>
      <c r="I33" s="19"/>
      <c r="J33" s="19"/>
      <c r="K33" s="19"/>
      <c r="L33" s="49"/>
      <c r="M33" s="866"/>
      <c r="N33" s="864"/>
      <c r="O33" s="90"/>
      <c r="P33" s="90"/>
      <c r="Q33" s="90"/>
      <c r="R33" s="90"/>
      <c r="S33" s="90"/>
      <c r="T33" s="90"/>
      <c r="U33" s="90"/>
      <c r="V33" s="90"/>
      <c r="X33" s="90"/>
      <c r="Y33" s="90"/>
      <c r="Z33" s="90"/>
      <c r="AA33" s="90"/>
      <c r="AB33" s="90"/>
      <c r="AC33" s="90"/>
      <c r="AD33" s="90"/>
      <c r="AE33" s="90"/>
      <c r="AF33" s="90"/>
      <c r="AG33" s="90"/>
      <c r="AH33" s="122"/>
      <c r="AI33" s="122"/>
      <c r="AJ33" s="122"/>
      <c r="AK33" s="122"/>
    </row>
    <row r="34" spans="1:37" ht="18" customHeight="1">
      <c r="A34" s="124"/>
      <c r="B34" s="194"/>
      <c r="C34" s="4">
        <f t="shared" si="0"/>
        <v>3</v>
      </c>
      <c r="D34" s="27"/>
      <c r="E34" s="74" t="s">
        <v>427</v>
      </c>
      <c r="F34" s="19"/>
      <c r="G34" s="19"/>
      <c r="H34" s="64"/>
      <c r="I34" s="19"/>
      <c r="J34" s="19"/>
      <c r="K34" s="19"/>
      <c r="L34" s="49"/>
      <c r="M34" s="866"/>
      <c r="N34" s="864"/>
      <c r="O34" s="90"/>
      <c r="P34" s="90"/>
      <c r="Q34" s="90"/>
      <c r="R34" s="90"/>
      <c r="S34" s="90"/>
      <c r="T34" s="90"/>
      <c r="U34" s="90"/>
      <c r="V34" s="90"/>
      <c r="X34" s="90"/>
      <c r="Y34" s="90"/>
      <c r="Z34" s="90"/>
      <c r="AA34" s="90"/>
      <c r="AB34" s="90"/>
      <c r="AC34" s="90"/>
      <c r="AD34" s="90"/>
      <c r="AE34" s="90"/>
      <c r="AF34" s="90"/>
      <c r="AG34" s="90"/>
      <c r="AH34" s="122"/>
      <c r="AI34" s="122"/>
      <c r="AJ34" s="122"/>
      <c r="AK34" s="122"/>
    </row>
    <row r="35" spans="1:37" ht="18" customHeight="1">
      <c r="A35" s="124"/>
      <c r="B35" s="195"/>
      <c r="C35" s="4">
        <f>+C34+1</f>
        <v>4</v>
      </c>
      <c r="D35" s="136">
        <f>+C35+1</f>
        <v>5</v>
      </c>
      <c r="E35" s="4" t="s">
        <v>444</v>
      </c>
      <c r="F35" s="6"/>
      <c r="G35" s="73"/>
      <c r="H35" s="63"/>
      <c r="I35" s="4"/>
      <c r="J35" s="4"/>
      <c r="K35" s="4"/>
      <c r="L35" s="50"/>
      <c r="M35" s="866"/>
      <c r="N35" s="864"/>
      <c r="O35" s="90"/>
      <c r="P35" s="90"/>
      <c r="Q35" s="90"/>
      <c r="R35" s="90"/>
      <c r="S35" s="90"/>
      <c r="T35" s="90"/>
      <c r="U35" s="90"/>
      <c r="V35" s="90"/>
      <c r="X35" s="90"/>
      <c r="Y35" s="90"/>
      <c r="Z35" s="90"/>
      <c r="AA35" s="122"/>
      <c r="AB35" s="122"/>
      <c r="AC35" s="1004"/>
      <c r="AD35" s="1004"/>
      <c r="AE35" s="122"/>
      <c r="AF35" s="122"/>
      <c r="AG35" s="122"/>
      <c r="AH35" s="122"/>
      <c r="AI35" s="122"/>
      <c r="AJ35" s="122"/>
      <c r="AK35" s="122"/>
    </row>
    <row r="36" spans="1:37" ht="18" customHeight="1">
      <c r="A36" s="124"/>
      <c r="B36" s="195"/>
      <c r="C36" s="4">
        <f>+D35+1</f>
        <v>6</v>
      </c>
      <c r="D36" s="136"/>
      <c r="E36" s="4" t="s">
        <v>428</v>
      </c>
      <c r="F36" s="6"/>
      <c r="G36" s="4"/>
      <c r="H36" s="63"/>
      <c r="I36" s="4"/>
      <c r="J36" s="4"/>
      <c r="K36" s="4"/>
      <c r="L36" s="50"/>
      <c r="M36" s="866"/>
      <c r="N36" s="864"/>
      <c r="O36" s="90"/>
      <c r="P36" s="90"/>
      <c r="Q36" s="90"/>
      <c r="R36" s="90"/>
      <c r="S36" s="90"/>
      <c r="T36" s="90"/>
      <c r="U36" s="90"/>
      <c r="V36" s="90"/>
      <c r="X36" s="90"/>
      <c r="Y36" s="90"/>
      <c r="Z36" s="90"/>
      <c r="AA36" s="122"/>
      <c r="AB36" s="122"/>
      <c r="AC36" s="1004"/>
      <c r="AD36" s="1004"/>
      <c r="AE36" s="122"/>
      <c r="AF36" s="122"/>
      <c r="AG36" s="122"/>
      <c r="AH36" s="122"/>
      <c r="AI36" s="122"/>
      <c r="AJ36" s="122"/>
      <c r="AK36" s="122"/>
    </row>
    <row r="37" spans="1:37" ht="18" customHeight="1">
      <c r="A37" s="124"/>
      <c r="B37" s="195"/>
      <c r="C37" s="4">
        <f>+C36+1</f>
        <v>7</v>
      </c>
      <c r="D37" s="136"/>
      <c r="E37" s="4" t="s">
        <v>429</v>
      </c>
      <c r="F37" s="6"/>
      <c r="G37" s="4"/>
      <c r="H37" s="63"/>
      <c r="I37" s="4"/>
      <c r="J37" s="4"/>
      <c r="K37" s="4"/>
      <c r="L37" s="50"/>
      <c r="M37" s="866"/>
      <c r="N37" s="864"/>
      <c r="O37" s="90"/>
      <c r="P37" s="90"/>
      <c r="Q37" s="90"/>
      <c r="R37" s="90"/>
      <c r="S37" s="90"/>
      <c r="T37" s="90"/>
      <c r="U37" s="90"/>
      <c r="V37" s="90"/>
      <c r="X37" s="90"/>
      <c r="Y37" s="90"/>
      <c r="Z37" s="90"/>
      <c r="AA37" s="122"/>
      <c r="AB37" s="122"/>
      <c r="AC37" s="1004"/>
      <c r="AD37" s="1004"/>
      <c r="AE37" s="122"/>
      <c r="AF37" s="122"/>
      <c r="AG37" s="122"/>
      <c r="AH37" s="122"/>
      <c r="AI37" s="122"/>
      <c r="AJ37" s="122"/>
      <c r="AK37" s="122"/>
    </row>
    <row r="38" spans="1:37" ht="18" customHeight="1">
      <c r="A38" s="124"/>
      <c r="B38" s="195"/>
      <c r="C38" s="4">
        <f>+C37+1</f>
        <v>8</v>
      </c>
      <c r="D38" s="136"/>
      <c r="E38" s="31" t="s">
        <v>430</v>
      </c>
      <c r="F38" s="6"/>
      <c r="G38" s="9"/>
      <c r="H38" s="63"/>
      <c r="I38" s="4"/>
      <c r="J38" s="4"/>
      <c r="K38" s="4"/>
      <c r="L38" s="50"/>
      <c r="M38" s="866"/>
      <c r="N38" s="864"/>
      <c r="O38" s="90"/>
      <c r="P38" s="90"/>
      <c r="Q38" s="90"/>
      <c r="R38" s="90"/>
      <c r="S38" s="90"/>
      <c r="T38" s="90"/>
      <c r="U38" s="90"/>
      <c r="V38" s="90"/>
      <c r="X38" s="90"/>
      <c r="Y38" s="90"/>
      <c r="Z38" s="90"/>
      <c r="AA38" s="122"/>
      <c r="AB38" s="122"/>
      <c r="AC38" s="122"/>
      <c r="AD38" s="122"/>
      <c r="AE38" s="122"/>
      <c r="AF38" s="122"/>
      <c r="AG38" s="122"/>
      <c r="AH38" s="122"/>
      <c r="AI38" s="122"/>
      <c r="AJ38" s="122"/>
      <c r="AK38" s="122"/>
    </row>
    <row r="39" spans="1:37" ht="18" customHeight="1">
      <c r="A39" s="124"/>
      <c r="B39" s="195"/>
      <c r="C39" s="4">
        <f>+C38+1</f>
        <v>9</v>
      </c>
      <c r="D39" s="136"/>
      <c r="E39" s="31" t="s">
        <v>673</v>
      </c>
      <c r="F39" s="6"/>
      <c r="G39" s="4"/>
      <c r="H39" s="63"/>
      <c r="I39" s="4"/>
      <c r="J39" s="4"/>
      <c r="K39" s="4"/>
      <c r="L39" s="50"/>
      <c r="M39" s="866"/>
      <c r="N39" s="864"/>
      <c r="O39" s="90"/>
      <c r="P39" s="90"/>
      <c r="Q39" s="90"/>
      <c r="R39" s="90"/>
      <c r="S39" s="90"/>
      <c r="T39" s="90"/>
      <c r="U39" s="90"/>
      <c r="V39" s="90"/>
      <c r="X39" s="90"/>
      <c r="Y39" s="90"/>
      <c r="Z39" s="90"/>
      <c r="AA39" s="122"/>
      <c r="AB39" s="122"/>
      <c r="AC39" s="122"/>
      <c r="AD39" s="122"/>
      <c r="AE39" s="122"/>
      <c r="AF39" s="122"/>
      <c r="AG39" s="122"/>
      <c r="AH39" s="122"/>
      <c r="AI39" s="122"/>
      <c r="AJ39" s="122"/>
      <c r="AK39" s="122"/>
    </row>
    <row r="40" spans="1:37" ht="18" customHeight="1">
      <c r="A40" s="124"/>
      <c r="B40" s="195"/>
      <c r="C40" s="4"/>
      <c r="D40" s="136"/>
      <c r="E40" s="4"/>
      <c r="F40" s="6"/>
      <c r="G40" s="4"/>
      <c r="H40" s="63"/>
      <c r="I40" s="4"/>
      <c r="J40" s="4"/>
      <c r="K40" s="4"/>
      <c r="L40" s="50"/>
      <c r="M40" s="866"/>
      <c r="N40" s="864"/>
      <c r="O40" s="90"/>
      <c r="P40" s="90"/>
      <c r="Q40" s="90"/>
      <c r="R40" s="90"/>
      <c r="S40" s="90"/>
      <c r="T40" s="90"/>
      <c r="U40" s="90"/>
      <c r="V40" s="90"/>
      <c r="AD40" s="122"/>
      <c r="AE40" s="122"/>
      <c r="AF40" s="122"/>
      <c r="AG40" s="122"/>
      <c r="AH40" s="122"/>
      <c r="AI40" s="122"/>
      <c r="AJ40" s="122"/>
      <c r="AK40" s="122"/>
    </row>
    <row r="41" spans="1:37" ht="18" customHeight="1" thickBot="1">
      <c r="A41" s="124"/>
      <c r="B41" s="196"/>
      <c r="C41" s="197"/>
      <c r="D41" s="197"/>
      <c r="E41" s="197"/>
      <c r="F41" s="197"/>
      <c r="G41" s="197"/>
      <c r="H41" s="198"/>
      <c r="I41" s="197"/>
      <c r="J41" s="197"/>
      <c r="K41" s="197"/>
      <c r="L41" s="199"/>
      <c r="M41" s="866"/>
      <c r="N41" s="864"/>
      <c r="O41" s="90"/>
      <c r="P41" s="90"/>
      <c r="Q41" s="90"/>
      <c r="R41" s="90"/>
      <c r="S41" s="90"/>
      <c r="T41" s="90"/>
      <c r="U41" s="90"/>
      <c r="V41" s="90"/>
      <c r="AD41" s="122"/>
      <c r="AE41" s="122"/>
      <c r="AF41" s="122"/>
      <c r="AG41" s="122"/>
      <c r="AH41" s="122"/>
      <c r="AI41" s="122"/>
      <c r="AJ41" s="122"/>
      <c r="AK41" s="122"/>
    </row>
    <row r="42" spans="1:37" ht="18" customHeight="1" thickBot="1">
      <c r="A42" s="126"/>
      <c r="B42" s="90"/>
      <c r="C42" s="90"/>
      <c r="D42" s="90"/>
      <c r="E42" s="90"/>
      <c r="F42" s="90"/>
      <c r="G42" s="90"/>
      <c r="H42" s="101"/>
      <c r="I42" s="90"/>
      <c r="J42" s="90"/>
      <c r="K42" s="90"/>
      <c r="L42" s="90"/>
      <c r="M42" s="866"/>
      <c r="N42" s="864"/>
      <c r="O42" s="90"/>
      <c r="P42" s="90"/>
      <c r="Q42" s="90"/>
      <c r="R42" s="90"/>
      <c r="S42" s="90"/>
      <c r="T42" s="90"/>
      <c r="U42" s="90"/>
      <c r="V42" s="90"/>
      <c r="AD42" s="122"/>
      <c r="AE42" s="122"/>
      <c r="AF42" s="122"/>
      <c r="AG42" s="122"/>
      <c r="AH42" s="122"/>
      <c r="AI42" s="122"/>
      <c r="AJ42" s="122"/>
      <c r="AK42" s="122"/>
    </row>
    <row r="43" spans="1:37" s="90" customFormat="1" ht="21.75" customHeight="1" thickTop="1">
      <c r="A43" s="1483"/>
      <c r="B43" s="1484" t="s">
        <v>255</v>
      </c>
      <c r="C43" s="1485"/>
      <c r="D43" s="1486" t="str">
        <f>+'Data Feeding'!E170</f>
        <v>M/s. SAI VENKATESWARA MASALA POWDERS</v>
      </c>
      <c r="E43" s="1487"/>
      <c r="F43" s="1487"/>
      <c r="G43" s="1487"/>
      <c r="H43" s="1487"/>
      <c r="I43" s="1487"/>
      <c r="J43" s="1487"/>
      <c r="K43" s="1487"/>
      <c r="L43" s="1488" t="str">
        <f>CONCATENATE("P - ",Report!C33," -")</f>
        <v>P - 2 -</v>
      </c>
      <c r="M43" s="866"/>
      <c r="N43" s="864"/>
      <c r="AD43" s="122"/>
      <c r="AE43" s="122"/>
      <c r="AF43" s="122"/>
      <c r="AG43" s="122"/>
      <c r="AH43" s="122"/>
      <c r="AI43" s="122"/>
      <c r="AJ43" s="122"/>
      <c r="AK43" s="122"/>
    </row>
    <row r="44" spans="1:37" s="90" customFormat="1" ht="24" customHeight="1">
      <c r="A44" s="1489" t="str">
        <f>+'Data Feeding'!E171</f>
        <v>Mr. UTTAM  KRISHNAIH</v>
      </c>
      <c r="B44" s="1253"/>
      <c r="C44" s="1253"/>
      <c r="D44" s="1253"/>
      <c r="E44" s="1253"/>
      <c r="F44" s="1253"/>
      <c r="G44" s="1253"/>
      <c r="H44" s="1253"/>
      <c r="I44" s="1253"/>
      <c r="J44" s="1253"/>
      <c r="K44" s="1253"/>
      <c r="L44" s="1254"/>
      <c r="M44" s="866"/>
      <c r="N44" s="864"/>
      <c r="AD44" s="122"/>
      <c r="AE44" s="122"/>
      <c r="AF44" s="122"/>
      <c r="AG44" s="122"/>
      <c r="AH44" s="122"/>
      <c r="AI44" s="122"/>
      <c r="AJ44" s="122"/>
      <c r="AK44" s="122"/>
    </row>
    <row r="45" spans="1:37" s="90" customFormat="1" ht="18" customHeight="1">
      <c r="A45" s="1490"/>
      <c r="B45" s="1258"/>
      <c r="C45" s="1258"/>
      <c r="D45" s="1261" t="str">
        <f>+'Data Feeding'!E161</f>
        <v>Shop No: 120 A, Hyderabad Road, Aitipamula,  Narketpally in Nalgonda (Dt)., of 508 001</v>
      </c>
      <c r="E45" s="1262"/>
      <c r="F45" s="1262"/>
      <c r="G45" s="1262"/>
      <c r="H45" s="1262"/>
      <c r="I45" s="1262"/>
      <c r="J45" s="1262"/>
      <c r="K45" s="1262"/>
      <c r="L45" s="24"/>
      <c r="M45" s="866"/>
      <c r="N45" s="864"/>
      <c r="AH45" s="122"/>
      <c r="AI45" s="122"/>
      <c r="AJ45" s="122"/>
      <c r="AK45" s="122"/>
    </row>
    <row r="46" spans="1:37" s="90" customFormat="1" ht="18" customHeight="1">
      <c r="A46" s="777"/>
      <c r="B46" s="6"/>
      <c r="C46" s="4"/>
      <c r="D46" s="1262"/>
      <c r="E46" s="1262"/>
      <c r="F46" s="1262"/>
      <c r="G46" s="1262"/>
      <c r="H46" s="1262"/>
      <c r="I46" s="1262"/>
      <c r="J46" s="1262"/>
      <c r="K46" s="1262"/>
      <c r="L46" s="59"/>
      <c r="M46" s="866"/>
      <c r="N46" s="864"/>
      <c r="AH46" s="122"/>
      <c r="AI46" s="122"/>
      <c r="AJ46" s="122"/>
      <c r="AK46" s="122"/>
    </row>
    <row r="47" spans="1:37" s="90" customFormat="1" ht="18" customHeight="1">
      <c r="A47" s="777"/>
      <c r="B47" s="6"/>
      <c r="C47" s="4"/>
      <c r="D47" s="4"/>
      <c r="E47" s="4"/>
      <c r="F47" s="4"/>
      <c r="G47" s="4"/>
      <c r="H47" s="4"/>
      <c r="I47" s="4"/>
      <c r="J47" s="4"/>
      <c r="K47" s="4"/>
      <c r="L47" s="24"/>
      <c r="M47" s="866"/>
      <c r="N47" s="864"/>
      <c r="AD47" s="122"/>
      <c r="AE47" s="122"/>
      <c r="AF47" s="122"/>
      <c r="AG47" s="122"/>
      <c r="AH47" s="122"/>
      <c r="AI47" s="122"/>
      <c r="AJ47" s="122"/>
      <c r="AK47" s="122"/>
    </row>
    <row r="48" spans="1:37" s="90" customFormat="1" ht="20.25" customHeight="1">
      <c r="A48" s="777"/>
      <c r="B48" s="63" t="s">
        <v>233</v>
      </c>
      <c r="C48" s="4"/>
      <c r="D48" s="84" t="str">
        <f>+'Data Feeding'!G26</f>
        <v>Chief Manager</v>
      </c>
      <c r="E48" s="84"/>
      <c r="F48" s="84"/>
      <c r="G48" s="84"/>
      <c r="H48" s="84"/>
      <c r="I48" s="84"/>
      <c r="J48" s="84"/>
      <c r="K48" s="84"/>
      <c r="L48" s="85"/>
      <c r="M48" s="866"/>
      <c r="N48" s="864"/>
      <c r="AD48" s="122"/>
      <c r="AE48" s="122"/>
      <c r="AF48" s="122"/>
      <c r="AG48" s="122"/>
      <c r="AH48" s="122"/>
      <c r="AI48" s="122"/>
      <c r="AJ48" s="122"/>
      <c r="AK48" s="122"/>
    </row>
    <row r="49" spans="1:37" s="90" customFormat="1" ht="19.5" customHeight="1">
      <c r="A49" s="777"/>
      <c r="B49" s="6"/>
      <c r="C49" s="4"/>
      <c r="D49" s="1246" t="str">
        <f>+'Data Feeding'!G27</f>
        <v>State Bank of India</v>
      </c>
      <c r="E49" s="1247"/>
      <c r="F49" s="1247"/>
      <c r="G49" s="1247"/>
      <c r="H49" s="1247"/>
      <c r="I49" s="1247"/>
      <c r="J49" s="1247"/>
      <c r="K49" s="1247"/>
      <c r="L49" s="85"/>
      <c r="M49" s="866"/>
      <c r="N49" s="864"/>
      <c r="AD49" s="122"/>
      <c r="AE49" s="122"/>
      <c r="AF49" s="122"/>
      <c r="AG49" s="122"/>
      <c r="AH49" s="122"/>
      <c r="AI49" s="122"/>
      <c r="AJ49" s="122"/>
      <c r="AK49" s="122"/>
    </row>
    <row r="50" spans="1:37" s="90" customFormat="1" ht="19.5" customHeight="1">
      <c r="A50" s="777"/>
      <c r="B50" s="6"/>
      <c r="C50" s="4"/>
      <c r="D50" s="1246" t="str">
        <f>CONCATENATE(,'Data Feeding'!G28," Branch ",'Data Feeding'!G29," Dist.",)</f>
        <v>Dilsuknatar Branch Hyderabad Dist.</v>
      </c>
      <c r="E50" s="1247"/>
      <c r="F50" s="1247"/>
      <c r="G50" s="1247"/>
      <c r="H50" s="1247"/>
      <c r="I50" s="1247"/>
      <c r="J50" s="1247"/>
      <c r="K50" s="1247"/>
      <c r="L50" s="1248"/>
      <c r="M50" s="866"/>
      <c r="N50" s="864"/>
      <c r="X50" s="122"/>
      <c r="Y50" s="122"/>
      <c r="Z50" s="122"/>
      <c r="AA50" s="122"/>
      <c r="AB50" s="122"/>
      <c r="AC50" s="122"/>
      <c r="AD50" s="122"/>
      <c r="AE50" s="122"/>
      <c r="AF50" s="122"/>
      <c r="AG50" s="122"/>
      <c r="AH50" s="122"/>
      <c r="AI50" s="122"/>
      <c r="AJ50" s="122"/>
      <c r="AK50" s="122"/>
    </row>
    <row r="51" spans="1:37" s="90" customFormat="1" ht="18" customHeight="1">
      <c r="A51" s="777"/>
      <c r="B51" s="4"/>
      <c r="C51" s="4"/>
      <c r="D51" s="4"/>
      <c r="E51" s="4"/>
      <c r="F51" s="4"/>
      <c r="G51" s="4"/>
      <c r="H51" s="4"/>
      <c r="I51" s="4"/>
      <c r="J51" s="4"/>
      <c r="K51" s="4"/>
      <c r="L51" s="24"/>
      <c r="M51" s="866"/>
      <c r="N51" s="864"/>
      <c r="X51" s="122"/>
      <c r="Y51" s="122"/>
      <c r="Z51" s="122"/>
      <c r="AA51" s="122"/>
      <c r="AB51" s="122"/>
      <c r="AC51" s="122"/>
      <c r="AD51" s="122"/>
      <c r="AE51" s="122"/>
      <c r="AF51" s="122"/>
      <c r="AG51" s="122"/>
      <c r="AH51" s="122"/>
      <c r="AI51" s="122"/>
      <c r="AJ51" s="122"/>
      <c r="AK51" s="122"/>
    </row>
    <row r="52" spans="1:37" s="90" customFormat="1" ht="18" customHeight="1">
      <c r="A52" s="777"/>
      <c r="B52" s="36"/>
      <c r="C52" s="134" t="s">
        <v>12</v>
      </c>
      <c r="D52" s="1255" t="str">
        <f>CONCATENATE("Submission of Project Proposal for Sanction of Bank Credit under ",'Data Feeding'!G21)</f>
        <v>Submission of Project Proposal for Sanction of Bank Credit under Mudra Scheme</v>
      </c>
      <c r="E52" s="1256"/>
      <c r="F52" s="1256"/>
      <c r="G52" s="1256"/>
      <c r="H52" s="1256"/>
      <c r="I52" s="1256"/>
      <c r="J52" s="1256"/>
      <c r="K52" s="1256"/>
      <c r="L52" s="1257"/>
      <c r="M52" s="866"/>
      <c r="N52" s="864"/>
      <c r="X52" s="122"/>
      <c r="Y52" s="122"/>
      <c r="Z52" s="122"/>
      <c r="AA52" s="122"/>
      <c r="AB52" s="122"/>
      <c r="AC52" s="122"/>
      <c r="AD52" s="122"/>
      <c r="AE52" s="122"/>
      <c r="AF52" s="122"/>
      <c r="AG52" s="122"/>
      <c r="AH52" s="122"/>
      <c r="AI52" s="122"/>
      <c r="AJ52" s="122"/>
      <c r="AK52" s="122"/>
    </row>
    <row r="53" spans="1:37" s="90" customFormat="1" ht="18" customHeight="1">
      <c r="A53" s="777"/>
      <c r="B53" s="36"/>
      <c r="C53" s="36"/>
      <c r="D53" s="1006"/>
      <c r="E53" s="1006"/>
      <c r="F53" s="1006"/>
      <c r="G53" s="1006"/>
      <c r="H53" s="1006"/>
      <c r="I53" s="1006"/>
      <c r="J53" s="1006"/>
      <c r="K53" s="1006"/>
      <c r="L53" s="1007"/>
      <c r="M53" s="866"/>
      <c r="N53" s="864"/>
      <c r="X53" s="122"/>
      <c r="Y53" s="122"/>
      <c r="Z53" s="122"/>
      <c r="AA53" s="122"/>
      <c r="AB53" s="122"/>
      <c r="AC53" s="122"/>
      <c r="AD53" s="122"/>
      <c r="AE53" s="122"/>
      <c r="AF53" s="122"/>
      <c r="AG53" s="122"/>
      <c r="AH53" s="122"/>
      <c r="AI53" s="122"/>
      <c r="AJ53" s="122"/>
      <c r="AK53" s="122"/>
    </row>
    <row r="54" spans="1:37" s="90" customFormat="1" ht="18" customHeight="1">
      <c r="A54" s="777"/>
      <c r="B54" s="4"/>
      <c r="C54" s="4" t="s">
        <v>99</v>
      </c>
      <c r="D54" s="4"/>
      <c r="E54" s="4"/>
      <c r="F54" s="4"/>
      <c r="G54" s="4"/>
      <c r="H54" s="4"/>
      <c r="I54" s="4"/>
      <c r="J54" s="4"/>
      <c r="K54" s="4"/>
      <c r="L54" s="24"/>
      <c r="M54" s="866"/>
      <c r="N54" s="864"/>
      <c r="X54" s="122"/>
      <c r="Y54" s="122"/>
      <c r="Z54" s="122"/>
      <c r="AA54" s="122"/>
      <c r="AB54" s="122"/>
      <c r="AC54" s="122"/>
      <c r="AD54" s="122"/>
      <c r="AE54" s="122"/>
      <c r="AF54" s="122"/>
      <c r="AG54" s="122"/>
      <c r="AH54" s="122"/>
      <c r="AI54" s="122"/>
      <c r="AJ54" s="122"/>
      <c r="AK54" s="122"/>
    </row>
    <row r="55" spans="1:37" s="90" customFormat="1" ht="18" customHeight="1">
      <c r="A55" s="777"/>
      <c r="B55" s="4"/>
      <c r="C55" s="4"/>
      <c r="D55" s="4"/>
      <c r="E55" s="4"/>
      <c r="F55" s="4"/>
      <c r="G55" s="4"/>
      <c r="H55" s="4"/>
      <c r="I55" s="4"/>
      <c r="J55" s="4"/>
      <c r="K55" s="4"/>
      <c r="L55" s="24"/>
      <c r="M55" s="866"/>
      <c r="N55" s="864"/>
      <c r="X55" s="122"/>
      <c r="Y55" s="122"/>
      <c r="Z55" s="122"/>
      <c r="AA55" s="122"/>
      <c r="AB55" s="122"/>
      <c r="AC55" s="122"/>
      <c r="AD55" s="122"/>
      <c r="AE55" s="122"/>
      <c r="AF55" s="122"/>
      <c r="AG55" s="122"/>
      <c r="AH55" s="122"/>
      <c r="AI55" s="122"/>
      <c r="AJ55" s="122"/>
      <c r="AK55" s="122"/>
    </row>
    <row r="56" spans="1:37" s="90" customFormat="1" ht="18" customHeight="1">
      <c r="A56" s="777"/>
      <c r="B56" s="4" t="s">
        <v>576</v>
      </c>
      <c r="C56" s="6"/>
      <c r="D56" s="6"/>
      <c r="E56" s="4"/>
      <c r="F56" s="4"/>
      <c r="G56" s="4"/>
      <c r="H56" s="4"/>
      <c r="I56" s="4"/>
      <c r="J56" s="4"/>
      <c r="K56" s="4"/>
      <c r="L56" s="24"/>
      <c r="M56" s="866"/>
      <c r="N56" s="864"/>
      <c r="X56" s="122"/>
      <c r="Y56" s="122"/>
      <c r="Z56" s="122"/>
      <c r="AA56" s="122"/>
      <c r="AB56" s="122"/>
      <c r="AC56" s="122"/>
      <c r="AD56" s="122"/>
      <c r="AE56" s="122"/>
      <c r="AF56" s="122"/>
      <c r="AG56" s="122"/>
      <c r="AH56" s="122"/>
      <c r="AI56" s="122"/>
      <c r="AJ56" s="122"/>
      <c r="AK56" s="122"/>
    </row>
    <row r="57" spans="1:37" s="90" customFormat="1" ht="18" customHeight="1">
      <c r="A57" s="777"/>
      <c r="B57" s="4"/>
      <c r="C57" s="4"/>
      <c r="D57" s="4"/>
      <c r="E57" s="4"/>
      <c r="F57" s="4"/>
      <c r="G57" s="4"/>
      <c r="H57" s="4"/>
      <c r="I57" s="4"/>
      <c r="J57" s="4"/>
      <c r="K57" s="4"/>
      <c r="L57" s="24"/>
      <c r="M57" s="866"/>
      <c r="N57" s="864"/>
      <c r="X57" s="122"/>
      <c r="Y57" s="122"/>
      <c r="Z57" s="122"/>
      <c r="AA57" s="122"/>
      <c r="AB57" s="122"/>
      <c r="AC57" s="122"/>
      <c r="AD57" s="122"/>
      <c r="AE57" s="122"/>
      <c r="AF57" s="122"/>
      <c r="AG57" s="122"/>
      <c r="AH57" s="122"/>
      <c r="AI57" s="122"/>
      <c r="AJ57" s="122"/>
      <c r="AK57" s="122"/>
    </row>
    <row r="58" spans="1:37" s="90" customFormat="1" ht="18" customHeight="1">
      <c r="A58" s="777"/>
      <c r="B58" s="21">
        <v>1</v>
      </c>
      <c r="C58" s="79" t="s">
        <v>136</v>
      </c>
      <c r="D58" s="21" t="s">
        <v>279</v>
      </c>
      <c r="E58" s="21"/>
      <c r="F58" s="21"/>
      <c r="G58" s="1270" t="str">
        <f>+'Data Feeding'!G4</f>
        <v>SAI VENKATESWARA MASALA POWDERS</v>
      </c>
      <c r="H58" s="1272"/>
      <c r="I58" s="1272"/>
      <c r="J58" s="1272"/>
      <c r="K58" s="1272"/>
      <c r="L58" s="1271"/>
      <c r="M58" s="866"/>
      <c r="N58" s="864"/>
      <c r="X58" s="122"/>
      <c r="Y58" s="122"/>
      <c r="Z58" s="122"/>
      <c r="AA58" s="122"/>
      <c r="AB58" s="122"/>
      <c r="AC58" s="122"/>
      <c r="AD58" s="122"/>
      <c r="AE58" s="122"/>
      <c r="AF58" s="122"/>
      <c r="AG58" s="122"/>
      <c r="AH58" s="122"/>
      <c r="AI58" s="122"/>
      <c r="AJ58" s="122"/>
      <c r="AK58" s="122"/>
    </row>
    <row r="59" spans="1:37" s="90" customFormat="1" ht="18" customHeight="1">
      <c r="A59" s="777"/>
      <c r="B59" s="21"/>
      <c r="C59" s="79" t="s">
        <v>114</v>
      </c>
      <c r="D59" s="21" t="s">
        <v>280</v>
      </c>
      <c r="E59" s="21"/>
      <c r="F59" s="21"/>
      <c r="G59" s="1270" t="str">
        <f>+'Data Feeding'!G30</f>
        <v>Proprietor</v>
      </c>
      <c r="H59" s="1270"/>
      <c r="I59" s="21"/>
      <c r="J59" s="21" t="str">
        <f>+Report!C95</f>
        <v>(Ph/Cell No:  9454854559)</v>
      </c>
      <c r="K59" s="6"/>
      <c r="L59" s="25"/>
      <c r="M59" s="866"/>
      <c r="N59" s="864"/>
      <c r="X59" s="122"/>
      <c r="Y59" s="122"/>
      <c r="Z59" s="122"/>
      <c r="AA59" s="122"/>
      <c r="AB59" s="122"/>
      <c r="AC59" s="122"/>
      <c r="AD59" s="122"/>
      <c r="AE59" s="122"/>
      <c r="AF59" s="122"/>
      <c r="AG59" s="122"/>
      <c r="AH59" s="122"/>
      <c r="AI59" s="122"/>
      <c r="AJ59" s="122"/>
      <c r="AK59" s="122"/>
    </row>
    <row r="60" spans="1:37" s="90" customFormat="1" ht="18" customHeight="1">
      <c r="A60" s="777"/>
      <c r="B60" s="21"/>
      <c r="C60" s="79" t="s">
        <v>235</v>
      </c>
      <c r="D60" s="21" t="s">
        <v>281</v>
      </c>
      <c r="E60" s="21"/>
      <c r="F60" s="21"/>
      <c r="G60" s="1270" t="str">
        <f>+'Data Feeding'!E163</f>
        <v>Sy.No: 199/a,  Near HP Petrol pump, Abdullapurmet,  Peddaamberpet in Ranga Reddy (Dt)., of Telangana</v>
      </c>
      <c r="H60" s="1272"/>
      <c r="I60" s="1272"/>
      <c r="J60" s="1272"/>
      <c r="K60" s="1272"/>
      <c r="L60" s="1271"/>
      <c r="M60" s="866"/>
      <c r="N60" s="864"/>
      <c r="X60" s="122"/>
      <c r="Y60" s="122"/>
      <c r="Z60" s="122"/>
      <c r="AA60" s="122"/>
      <c r="AB60" s="122"/>
      <c r="AC60" s="122"/>
      <c r="AD60" s="122"/>
      <c r="AE60" s="122"/>
      <c r="AF60" s="122"/>
      <c r="AG60" s="122"/>
      <c r="AH60" s="122"/>
      <c r="AI60" s="122"/>
      <c r="AJ60" s="122"/>
      <c r="AK60" s="122"/>
    </row>
    <row r="61" spans="1:37" s="90" customFormat="1" ht="18" customHeight="1">
      <c r="A61" s="777"/>
      <c r="B61" s="21"/>
      <c r="C61" s="79"/>
      <c r="D61" s="21"/>
      <c r="E61" s="21"/>
      <c r="F61" s="21"/>
      <c r="G61" s="1272"/>
      <c r="H61" s="1272"/>
      <c r="I61" s="1272"/>
      <c r="J61" s="1272"/>
      <c r="K61" s="1272"/>
      <c r="L61" s="1271"/>
      <c r="M61" s="866"/>
      <c r="N61" s="864"/>
      <c r="X61" s="122"/>
      <c r="Y61" s="122"/>
      <c r="Z61" s="122"/>
      <c r="AA61" s="122"/>
      <c r="AB61" s="122"/>
      <c r="AC61" s="122"/>
      <c r="AD61" s="122"/>
      <c r="AE61" s="122"/>
      <c r="AF61" s="122"/>
      <c r="AG61" s="122"/>
      <c r="AH61" s="122"/>
      <c r="AI61" s="122"/>
      <c r="AJ61" s="122"/>
      <c r="AK61" s="122"/>
    </row>
    <row r="62" spans="1:37" s="90" customFormat="1" ht="18" customHeight="1">
      <c r="A62" s="777"/>
      <c r="B62" s="21"/>
      <c r="C62" s="79" t="s">
        <v>236</v>
      </c>
      <c r="D62" s="21" t="s">
        <v>282</v>
      </c>
      <c r="E62" s="21"/>
      <c r="F62" s="21"/>
      <c r="G62" s="1270" t="str">
        <f>+'Data Feeding'!G23</f>
        <v>B.Com</v>
      </c>
      <c r="H62" s="1270"/>
      <c r="I62" s="34"/>
      <c r="J62" s="34"/>
      <c r="K62" s="34"/>
      <c r="L62" s="41"/>
      <c r="M62" s="866"/>
      <c r="N62" s="864"/>
    </row>
    <row r="63" spans="1:37" s="90" customFormat="1" ht="18" customHeight="1">
      <c r="A63" s="777"/>
      <c r="B63" s="21"/>
      <c r="C63" s="79" t="s">
        <v>237</v>
      </c>
      <c r="D63" s="21" t="s">
        <v>283</v>
      </c>
      <c r="E63" s="21"/>
      <c r="F63" s="21"/>
      <c r="G63" s="1270" t="str">
        <f>+'Data Feeding'!G31</f>
        <v>SC</v>
      </c>
      <c r="H63" s="1270"/>
      <c r="I63" s="36"/>
      <c r="J63" s="36"/>
      <c r="K63" s="36"/>
      <c r="L63" s="135"/>
      <c r="M63" s="866"/>
      <c r="N63" s="864"/>
    </row>
    <row r="64" spans="1:37" s="90" customFormat="1" ht="18" customHeight="1">
      <c r="A64" s="777"/>
      <c r="B64" s="21"/>
      <c r="C64" s="79" t="s">
        <v>561</v>
      </c>
      <c r="D64" s="21" t="s">
        <v>505</v>
      </c>
      <c r="E64" s="21"/>
      <c r="F64" s="21"/>
      <c r="G64" s="1268" t="str">
        <f>+'Data Feeding'!G32</f>
        <v>Man Category</v>
      </c>
      <c r="H64" s="1268"/>
      <c r="I64" s="36"/>
      <c r="J64" s="36"/>
      <c r="K64" s="36"/>
      <c r="L64" s="135"/>
      <c r="M64" s="866"/>
      <c r="N64" s="864"/>
    </row>
    <row r="65" spans="1:14" s="90" customFormat="1" ht="18" customHeight="1">
      <c r="A65" s="777"/>
      <c r="B65" s="21"/>
      <c r="C65" s="79" t="s">
        <v>562</v>
      </c>
      <c r="D65" s="21" t="s">
        <v>546</v>
      </c>
      <c r="E65" s="21"/>
      <c r="F65" s="21"/>
      <c r="G65" s="1268" t="str">
        <f>+'Data Feeding'!G24</f>
        <v>PAN XYZ 1234</v>
      </c>
      <c r="H65" s="1268"/>
      <c r="I65" s="36"/>
      <c r="J65" s="36"/>
      <c r="K65" s="36"/>
      <c r="L65" s="135"/>
      <c r="M65" s="866"/>
      <c r="N65" s="864"/>
    </row>
    <row r="66" spans="1:14" s="90" customFormat="1" ht="18" customHeight="1">
      <c r="A66" s="777"/>
      <c r="B66" s="21"/>
      <c r="C66" s="79" t="s">
        <v>563</v>
      </c>
      <c r="D66" s="21" t="s">
        <v>547</v>
      </c>
      <c r="E66" s="21"/>
      <c r="F66" s="21"/>
      <c r="G66" s="1268" t="str">
        <f>+'Data Feeding'!G25</f>
        <v>AADHAR PPP QQQ 456</v>
      </c>
      <c r="H66" s="1268"/>
      <c r="I66" s="36"/>
      <c r="J66" s="36"/>
      <c r="K66" s="36"/>
      <c r="L66" s="135"/>
      <c r="M66" s="866"/>
      <c r="N66" s="864"/>
    </row>
    <row r="67" spans="1:14" s="90" customFormat="1" ht="18" customHeight="1">
      <c r="A67" s="777"/>
      <c r="B67" s="21"/>
      <c r="C67" s="79"/>
      <c r="D67" s="21"/>
      <c r="E67" s="21"/>
      <c r="F67" s="21"/>
      <c r="G67" s="1491"/>
      <c r="H67" s="1491"/>
      <c r="I67" s="36"/>
      <c r="J67" s="36"/>
      <c r="K67" s="36"/>
      <c r="L67" s="135"/>
      <c r="M67" s="866"/>
      <c r="N67" s="864"/>
    </row>
    <row r="68" spans="1:14" s="90" customFormat="1" ht="18" customHeight="1">
      <c r="A68" s="777"/>
      <c r="B68" s="21">
        <v>2</v>
      </c>
      <c r="C68" s="79" t="s">
        <v>136</v>
      </c>
      <c r="D68" s="21" t="s">
        <v>284</v>
      </c>
      <c r="E68" s="21"/>
      <c r="F68" s="21"/>
      <c r="G68" s="1259" t="str">
        <f>+'Data Feeding'!G2</f>
        <v>MASALA / SPICES MAKING UNIT</v>
      </c>
      <c r="H68" s="1259"/>
      <c r="I68" s="1259"/>
      <c r="J68" s="1259"/>
      <c r="K68" s="1259"/>
      <c r="L68" s="1260"/>
      <c r="M68" s="866"/>
      <c r="N68" s="864"/>
    </row>
    <row r="69" spans="1:14" s="90" customFormat="1" ht="18" customHeight="1">
      <c r="A69" s="777"/>
      <c r="B69" s="21"/>
      <c r="C69" s="79" t="s">
        <v>114</v>
      </c>
      <c r="D69" s="1263" t="s">
        <v>11</v>
      </c>
      <c r="E69" s="1263"/>
      <c r="F69" s="1263"/>
      <c r="G69" s="1267" t="str">
        <f>+'Data Feeding'!G3</f>
        <v>Various masala / spices powders  like mirch, dhania, turmaric etc.,</v>
      </c>
      <c r="H69" s="1268"/>
      <c r="I69" s="1268"/>
      <c r="J69" s="1268"/>
      <c r="K69" s="1268"/>
      <c r="L69" s="1269"/>
      <c r="M69" s="866"/>
      <c r="N69" s="864"/>
    </row>
    <row r="70" spans="1:14" s="90" customFormat="1" ht="18" customHeight="1">
      <c r="A70" s="777"/>
      <c r="B70" s="21"/>
      <c r="C70" s="79"/>
      <c r="D70" s="1263"/>
      <c r="E70" s="1263"/>
      <c r="F70" s="1263"/>
      <c r="G70" s="1267"/>
      <c r="H70" s="1268"/>
      <c r="I70" s="1268"/>
      <c r="J70" s="1268"/>
      <c r="K70" s="1268"/>
      <c r="L70" s="1269"/>
      <c r="M70" s="866"/>
      <c r="N70" s="864"/>
    </row>
    <row r="71" spans="1:14" s="90" customFormat="1" ht="18" customHeight="1">
      <c r="A71" s="777"/>
      <c r="B71" s="21">
        <v>3</v>
      </c>
      <c r="C71" s="79"/>
      <c r="D71" s="1251" t="s">
        <v>359</v>
      </c>
      <c r="E71" s="1251"/>
      <c r="F71" s="1251"/>
      <c r="G71" s="1251"/>
      <c r="H71" s="6"/>
      <c r="I71" s="1251" t="s">
        <v>358</v>
      </c>
      <c r="J71" s="1251"/>
      <c r="K71" s="1251"/>
      <c r="L71" s="1252"/>
      <c r="M71" s="866"/>
      <c r="N71" s="864"/>
    </row>
    <row r="72" spans="1:14" s="90" customFormat="1" ht="18" customHeight="1">
      <c r="A72" s="777"/>
      <c r="B72" s="21"/>
      <c r="C72" s="21" t="s">
        <v>325</v>
      </c>
      <c r="D72" s="6"/>
      <c r="E72" s="21"/>
      <c r="F72" s="58"/>
      <c r="G72" s="200">
        <f>SUM(Report!L107:L109)</f>
        <v>0</v>
      </c>
      <c r="H72" s="6"/>
      <c r="I72" s="71" t="s">
        <v>362</v>
      </c>
      <c r="J72" s="70"/>
      <c r="K72" s="6"/>
      <c r="L72" s="202">
        <f>+'Data Feeding'!K106</f>
        <v>480000</v>
      </c>
      <c r="M72" s="866"/>
      <c r="N72" s="864"/>
    </row>
    <row r="73" spans="1:14" s="90" customFormat="1" ht="18" customHeight="1">
      <c r="A73" s="777"/>
      <c r="B73" s="21"/>
      <c r="C73" s="21" t="s">
        <v>360</v>
      </c>
      <c r="D73" s="6"/>
      <c r="E73" s="6"/>
      <c r="F73" s="6"/>
      <c r="G73" s="1492">
        <f>SUM(Report!L110:L110)</f>
        <v>600000</v>
      </c>
      <c r="H73" s="6"/>
      <c r="I73" s="71" t="s">
        <v>363</v>
      </c>
      <c r="J73" s="70"/>
      <c r="K73" s="6"/>
      <c r="L73" s="202">
        <f>+'Data Feeding'!K107</f>
        <v>424500</v>
      </c>
      <c r="M73" s="866"/>
      <c r="N73" s="864"/>
    </row>
    <row r="74" spans="1:14" s="90" customFormat="1" ht="18" customHeight="1">
      <c r="A74" s="777"/>
      <c r="B74" s="21"/>
      <c r="C74" s="21" t="s">
        <v>361</v>
      </c>
      <c r="D74" s="6"/>
      <c r="E74" s="21"/>
      <c r="F74" s="21"/>
      <c r="G74" s="201">
        <f>+G72+G73</f>
        <v>600000</v>
      </c>
      <c r="H74" s="6"/>
      <c r="I74" s="71" t="s">
        <v>364</v>
      </c>
      <c r="J74" s="70"/>
      <c r="K74" s="6"/>
      <c r="L74" s="202">
        <f>+'Data Feeding'!I108</f>
        <v>261500</v>
      </c>
      <c r="M74" s="866"/>
      <c r="N74" s="864"/>
    </row>
    <row r="75" spans="1:14" s="90" customFormat="1" ht="18" customHeight="1">
      <c r="A75" s="777"/>
      <c r="B75" s="21"/>
      <c r="C75" s="21" t="s">
        <v>326</v>
      </c>
      <c r="D75" s="6"/>
      <c r="E75" s="21"/>
      <c r="F75" s="21"/>
      <c r="G75" s="201">
        <f>+'Data Feeding'!G107</f>
        <v>566000</v>
      </c>
      <c r="H75" s="6"/>
      <c r="I75" s="71" t="s">
        <v>365</v>
      </c>
      <c r="J75" s="6"/>
      <c r="K75" s="6"/>
      <c r="L75" s="202" t="s">
        <v>521</v>
      </c>
      <c r="M75" s="866"/>
      <c r="N75" s="864"/>
    </row>
    <row r="76" spans="1:14" s="90" customFormat="1" ht="18" customHeight="1" thickBot="1">
      <c r="A76" s="777"/>
      <c r="B76" s="21"/>
      <c r="C76" s="21" t="s">
        <v>14</v>
      </c>
      <c r="D76" s="6"/>
      <c r="E76" s="21"/>
      <c r="F76" s="21"/>
      <c r="G76" s="1493">
        <f>+G75+G74</f>
        <v>1166000</v>
      </c>
      <c r="H76" s="6"/>
      <c r="I76" s="45" t="s">
        <v>366</v>
      </c>
      <c r="J76" s="69"/>
      <c r="K76" s="6"/>
      <c r="L76" s="1494">
        <f>+L74+L73+L72</f>
        <v>1166000</v>
      </c>
      <c r="M76" s="866"/>
      <c r="N76" s="864"/>
    </row>
    <row r="77" spans="1:14" s="90" customFormat="1" ht="18" customHeight="1" thickTop="1">
      <c r="A77" s="777"/>
      <c r="B77" s="21"/>
      <c r="C77" s="21"/>
      <c r="D77" s="6"/>
      <c r="E77" s="21"/>
      <c r="F77" s="21"/>
      <c r="G77" s="58"/>
      <c r="H77" s="6"/>
      <c r="I77" s="45"/>
      <c r="J77" s="69"/>
      <c r="K77" s="6"/>
      <c r="L77" s="100"/>
      <c r="M77" s="866"/>
      <c r="N77" s="864"/>
    </row>
    <row r="78" spans="1:14" s="90" customFormat="1" ht="18" customHeight="1">
      <c r="A78" s="777"/>
      <c r="B78" s="21"/>
      <c r="C78" s="44"/>
      <c r="D78" s="1264" t="str">
        <f>+'Data Feeding'!B110</f>
        <v>Kindly Process the applicaton  under Mudra Scheme and do needful.</v>
      </c>
      <c r="E78" s="1265"/>
      <c r="F78" s="1265"/>
      <c r="G78" s="1265"/>
      <c r="H78" s="1265"/>
      <c r="I78" s="1265"/>
      <c r="J78" s="1265"/>
      <c r="K78" s="1265"/>
      <c r="L78" s="1266"/>
      <c r="M78" s="866"/>
      <c r="N78" s="864"/>
    </row>
    <row r="79" spans="1:14" s="90" customFormat="1" ht="18" customHeight="1">
      <c r="A79" s="777"/>
      <c r="B79" s="4"/>
      <c r="C79" s="6"/>
      <c r="D79" s="6"/>
      <c r="E79" s="6"/>
      <c r="F79" s="4"/>
      <c r="G79" s="1244" t="s">
        <v>161</v>
      </c>
      <c r="H79" s="1249"/>
      <c r="I79" s="1249"/>
      <c r="J79" s="1249"/>
      <c r="K79" s="1249"/>
      <c r="L79" s="1250"/>
      <c r="M79" s="866"/>
      <c r="N79" s="864"/>
    </row>
    <row r="80" spans="1:14" s="90" customFormat="1" ht="18" customHeight="1">
      <c r="A80" s="777"/>
      <c r="B80" s="4"/>
      <c r="C80" s="42" t="s">
        <v>250</v>
      </c>
      <c r="D80" s="42"/>
      <c r="E80" s="42" t="str">
        <f>+'Data Feeding'!G28</f>
        <v>Dilsuknatar</v>
      </c>
      <c r="F80" s="4"/>
      <c r="G80" s="1244" t="str">
        <f>CONCATENATE("for  ",'Data Feeding'!E170,)</f>
        <v>for  M/s. SAI VENKATESWARA MASALA POWDERS</v>
      </c>
      <c r="H80" s="1249"/>
      <c r="I80" s="1249"/>
      <c r="J80" s="1249"/>
      <c r="K80" s="1249"/>
      <c r="L80" s="1250"/>
      <c r="M80" s="866"/>
      <c r="N80" s="864"/>
    </row>
    <row r="81" spans="1:40" s="90" customFormat="1" ht="18" customHeight="1">
      <c r="A81" s="777"/>
      <c r="B81" s="4"/>
      <c r="C81" s="42" t="s">
        <v>240</v>
      </c>
      <c r="D81" s="42"/>
      <c r="E81" s="47">
        <f ca="1">TODAY()</f>
        <v>44186</v>
      </c>
      <c r="F81" s="4"/>
      <c r="G81" s="1244"/>
      <c r="H81" s="1249"/>
      <c r="I81" s="1249"/>
      <c r="J81" s="1249"/>
      <c r="K81" s="1249"/>
      <c r="L81" s="1250"/>
      <c r="M81" s="866"/>
      <c r="N81" s="864"/>
    </row>
    <row r="82" spans="1:40" s="90" customFormat="1" ht="18" customHeight="1" thickBot="1">
      <c r="A82" s="127"/>
      <c r="B82" s="1495"/>
      <c r="C82" s="1496"/>
      <c r="D82" s="1497"/>
      <c r="E82" s="1498"/>
      <c r="F82" s="1498"/>
      <c r="G82" s="1499" t="str">
        <f>+A44</f>
        <v>Mr. UTTAM  KRISHNAIH</v>
      </c>
      <c r="H82" s="1499"/>
      <c r="I82" s="1499"/>
      <c r="J82" s="1499"/>
      <c r="K82" s="1499"/>
      <c r="L82" s="1238"/>
      <c r="M82" s="866"/>
      <c r="N82" s="864"/>
    </row>
    <row r="83" spans="1:40" s="90" customFormat="1" ht="18" customHeight="1" thickTop="1">
      <c r="A83" s="126"/>
      <c r="H83" s="101"/>
      <c r="M83" s="866"/>
      <c r="N83" s="864"/>
    </row>
    <row r="84" spans="1:40" ht="9" customHeight="1" thickBot="1">
      <c r="A84" s="126"/>
      <c r="B84" s="90"/>
      <c r="C84" s="90"/>
      <c r="D84" s="90"/>
      <c r="E84" s="90"/>
      <c r="F84" s="90"/>
      <c r="G84" s="90"/>
      <c r="H84" s="101"/>
      <c r="I84" s="90"/>
      <c r="J84" s="90"/>
      <c r="K84" s="90"/>
      <c r="L84" s="90"/>
      <c r="M84" s="866"/>
      <c r="N84" s="864"/>
      <c r="O84" s="90"/>
      <c r="P84" s="90"/>
      <c r="Q84" s="90"/>
      <c r="R84" s="90"/>
      <c r="S84" s="90"/>
      <c r="T84" s="90"/>
      <c r="U84" s="90"/>
      <c r="V84" s="90"/>
    </row>
    <row r="85" spans="1:40" ht="18" customHeight="1" thickTop="1">
      <c r="A85" s="1453" t="s">
        <v>107</v>
      </c>
      <c r="B85" s="1454"/>
      <c r="C85" s="1454"/>
      <c r="D85" s="1454"/>
      <c r="E85" s="1454"/>
      <c r="F85" s="1454"/>
      <c r="G85" s="1454"/>
      <c r="H85" s="1454"/>
      <c r="I85" s="1454"/>
      <c r="J85" s="1454"/>
      <c r="K85" s="1454"/>
      <c r="L85" s="845" t="str">
        <f>CONCATENATE("- P - ",Report!C34,)</f>
        <v>- P - 3</v>
      </c>
      <c r="M85" s="866"/>
      <c r="N85" s="864"/>
      <c r="O85" s="90"/>
      <c r="P85" s="90"/>
      <c r="Q85" s="90"/>
      <c r="R85" s="90"/>
      <c r="S85" s="90"/>
      <c r="T85" s="90"/>
      <c r="U85" s="90"/>
      <c r="V85" s="90"/>
    </row>
    <row r="86" spans="1:40" ht="18" customHeight="1">
      <c r="A86" s="777"/>
      <c r="B86" s="4" t="s">
        <v>108</v>
      </c>
      <c r="C86" s="16"/>
      <c r="D86" s="4"/>
      <c r="E86" s="4"/>
      <c r="F86" s="39"/>
      <c r="G86" s="1455" t="str">
        <f>'Data Feeding'!G2</f>
        <v>MASALA / SPICES MAKING UNIT</v>
      </c>
      <c r="H86" s="1456"/>
      <c r="I86" s="1456"/>
      <c r="J86" s="1456"/>
      <c r="K86" s="1456"/>
      <c r="L86" s="1457"/>
      <c r="M86" s="866"/>
      <c r="N86" s="864"/>
      <c r="O86" s="90"/>
      <c r="P86" s="90"/>
      <c r="Q86" s="90"/>
      <c r="R86" s="90"/>
      <c r="S86" s="90"/>
      <c r="T86" s="90"/>
      <c r="U86" s="90"/>
      <c r="V86" s="90"/>
    </row>
    <row r="87" spans="1:40" ht="18" customHeight="1">
      <c r="A87" s="777"/>
      <c r="B87" s="4" t="s">
        <v>259</v>
      </c>
      <c r="C87" s="6"/>
      <c r="D87" s="4"/>
      <c r="E87" s="4"/>
      <c r="F87" s="39"/>
      <c r="G87" s="1334" t="str">
        <f>+'Data Feeding'!E222</f>
        <v>Food &amp; Agro Based Industry</v>
      </c>
      <c r="H87" s="1259"/>
      <c r="I87" s="1259"/>
      <c r="J87" s="1259"/>
      <c r="K87" s="1259"/>
      <c r="L87" s="1260"/>
      <c r="M87" s="866"/>
      <c r="N87" s="864"/>
      <c r="O87" s="90"/>
      <c r="P87" s="90"/>
      <c r="Q87" s="90"/>
      <c r="R87" s="90"/>
      <c r="S87" s="90"/>
      <c r="T87" s="90"/>
      <c r="U87" s="90"/>
      <c r="V87" s="90"/>
    </row>
    <row r="88" spans="1:40" ht="18" customHeight="1">
      <c r="A88" s="777"/>
      <c r="B88" s="1336" t="s">
        <v>625</v>
      </c>
      <c r="C88" s="1336"/>
      <c r="D88" s="1336"/>
      <c r="E88" s="1336"/>
      <c r="F88" s="1337"/>
      <c r="G88" s="1334" t="str">
        <f>'Data Feeding'!G3</f>
        <v>Various masala / spices powders  like mirch, dhania, turmaric etc.,</v>
      </c>
      <c r="H88" s="1259"/>
      <c r="I88" s="1259"/>
      <c r="J88" s="1259"/>
      <c r="K88" s="1259"/>
      <c r="L88" s="1260"/>
      <c r="M88" s="866"/>
      <c r="N88" s="864"/>
      <c r="O88" s="90"/>
      <c r="P88" s="90"/>
      <c r="Q88" s="90"/>
      <c r="R88" s="90"/>
      <c r="S88" s="90"/>
      <c r="T88" s="90"/>
      <c r="U88" s="90"/>
      <c r="V88" s="90"/>
    </row>
    <row r="89" spans="1:40" ht="18" customHeight="1">
      <c r="A89" s="777"/>
      <c r="B89" s="1338"/>
      <c r="C89" s="1338"/>
      <c r="D89" s="1338"/>
      <c r="E89" s="1338"/>
      <c r="F89" s="1458"/>
      <c r="G89" s="1459"/>
      <c r="H89" s="1335"/>
      <c r="I89" s="1335"/>
      <c r="J89" s="1335"/>
      <c r="K89" s="1335"/>
      <c r="L89" s="1460"/>
      <c r="M89" s="866"/>
      <c r="N89" s="864"/>
      <c r="O89" s="90"/>
      <c r="P89" s="90"/>
      <c r="Q89" s="90"/>
      <c r="R89" s="90"/>
      <c r="S89" s="90"/>
      <c r="T89" s="90"/>
      <c r="U89" s="90"/>
      <c r="V89" s="90"/>
    </row>
    <row r="90" spans="1:40" ht="18" customHeight="1">
      <c r="A90" s="1461"/>
      <c r="B90" s="1462" t="s">
        <v>109</v>
      </c>
      <c r="C90" s="1463"/>
      <c r="D90" s="1464"/>
      <c r="E90" s="1464"/>
      <c r="F90" s="1465"/>
      <c r="G90" s="1466" t="str">
        <f>+'Data Feeding'!E170</f>
        <v>M/s. SAI VENKATESWARA MASALA POWDERS</v>
      </c>
      <c r="H90" s="1467"/>
      <c r="I90" s="1467"/>
      <c r="J90" s="1467"/>
      <c r="K90" s="1467"/>
      <c r="L90" s="1468"/>
      <c r="M90" s="866"/>
      <c r="N90" s="864"/>
      <c r="O90" s="90"/>
      <c r="P90" s="90"/>
      <c r="Q90" s="90"/>
      <c r="R90" s="90"/>
      <c r="S90" s="90"/>
      <c r="T90" s="90"/>
      <c r="U90" s="90"/>
      <c r="V90" s="90"/>
    </row>
    <row r="91" spans="1:40" ht="18" customHeight="1">
      <c r="A91" s="1469"/>
      <c r="B91" s="4"/>
      <c r="C91" s="6"/>
      <c r="D91" s="8"/>
      <c r="E91" s="8"/>
      <c r="F91" s="73"/>
      <c r="G91" s="367"/>
      <c r="H91" s="64"/>
      <c r="I91" s="368"/>
      <c r="J91" s="368"/>
      <c r="K91" s="368"/>
      <c r="L91" s="99"/>
      <c r="M91" s="866"/>
      <c r="N91" s="864"/>
      <c r="O91" s="90"/>
      <c r="P91" s="90"/>
      <c r="Q91" s="90"/>
      <c r="R91" s="90"/>
      <c r="S91" s="90"/>
      <c r="T91" s="90"/>
      <c r="U91" s="90"/>
      <c r="V91" s="90"/>
    </row>
    <row r="92" spans="1:40" ht="18" customHeight="1">
      <c r="A92" s="777"/>
      <c r="B92" s="21" t="s">
        <v>339</v>
      </c>
      <c r="C92" s="6"/>
      <c r="D92" s="4"/>
      <c r="E92" s="4"/>
      <c r="F92" s="73"/>
      <c r="G92" s="1334" t="str">
        <f>+'Data Feeding'!E174</f>
        <v xml:space="preserve"> Mr. UTTAM  KRISHNAIH, S/o. Sudhakar</v>
      </c>
      <c r="H92" s="1259"/>
      <c r="I92" s="1259"/>
      <c r="J92" s="1259"/>
      <c r="K92" s="1259"/>
      <c r="L92" s="1260"/>
      <c r="M92" s="866"/>
      <c r="N92" s="864"/>
      <c r="O92" s="90"/>
      <c r="P92" s="90"/>
      <c r="Q92" s="90"/>
      <c r="R92" s="90"/>
      <c r="S92" s="90"/>
      <c r="T92" s="90"/>
      <c r="U92" s="90"/>
      <c r="V92" s="90"/>
    </row>
    <row r="93" spans="1:40" ht="18" customHeight="1">
      <c r="A93" s="777"/>
      <c r="B93" s="21"/>
      <c r="C93" s="6"/>
      <c r="D93" s="4"/>
      <c r="E93" s="4"/>
      <c r="F93" s="73"/>
      <c r="G93" s="1470"/>
      <c r="H93" s="369"/>
      <c r="I93" s="370"/>
      <c r="J93" s="370"/>
      <c r="K93" s="370"/>
      <c r="L93" s="1471"/>
      <c r="M93" s="866"/>
      <c r="N93" s="864"/>
      <c r="O93" s="90"/>
      <c r="P93" s="90"/>
      <c r="Q93" s="90"/>
      <c r="R93" s="90"/>
      <c r="S93" s="90"/>
      <c r="T93" s="90"/>
      <c r="U93" s="90"/>
      <c r="V93" s="90"/>
    </row>
    <row r="94" spans="1:40" ht="18" customHeight="1">
      <c r="A94" s="1472"/>
      <c r="B94" s="1462" t="s">
        <v>110</v>
      </c>
      <c r="C94" s="1463"/>
      <c r="D94" s="1462"/>
      <c r="E94" s="1462"/>
      <c r="F94" s="1473"/>
      <c r="G94" s="1455" t="str">
        <f>+'Data Feeding'!E161</f>
        <v>Shop No: 120 A, Hyderabad Road, Aitipamula,  Narketpally in Nalgonda (Dt)., of 508 001</v>
      </c>
      <c r="H94" s="1456"/>
      <c r="I94" s="1456"/>
      <c r="J94" s="1456"/>
      <c r="K94" s="1456"/>
      <c r="L94" s="1457"/>
      <c r="M94" s="866"/>
      <c r="N94" s="864"/>
      <c r="O94" s="90"/>
      <c r="P94" s="90"/>
      <c r="Q94" s="90"/>
      <c r="R94" s="90"/>
      <c r="S94" s="90"/>
      <c r="T94" s="90"/>
      <c r="U94" s="90"/>
      <c r="V94" s="90"/>
    </row>
    <row r="95" spans="1:40" ht="18" customHeight="1">
      <c r="A95" s="777"/>
      <c r="B95" s="4"/>
      <c r="C95" s="1244" t="str">
        <f>CONCATENATE("(Ph/Cell No:  ",'Data Feeding'!G14,")")</f>
        <v>(Ph/Cell No:  9454854559)</v>
      </c>
      <c r="D95" s="1244"/>
      <c r="E95" s="1244"/>
      <c r="F95" s="1245"/>
      <c r="G95" s="1334"/>
      <c r="H95" s="1259"/>
      <c r="I95" s="1259"/>
      <c r="J95" s="1259"/>
      <c r="K95" s="1259"/>
      <c r="L95" s="1260"/>
      <c r="M95" s="866"/>
      <c r="N95" s="864"/>
      <c r="O95" s="90"/>
      <c r="P95" s="90"/>
      <c r="Q95" s="90"/>
      <c r="R95" s="90"/>
      <c r="S95" s="90"/>
      <c r="T95" s="90"/>
      <c r="U95" s="90"/>
      <c r="V95" s="90"/>
    </row>
    <row r="96" spans="1:40" ht="18" customHeight="1">
      <c r="A96" s="1474"/>
      <c r="B96" s="371"/>
      <c r="C96" s="1028"/>
      <c r="D96" s="371"/>
      <c r="E96" s="371"/>
      <c r="F96" s="1475"/>
      <c r="G96" s="1459"/>
      <c r="H96" s="1335"/>
      <c r="I96" s="1335"/>
      <c r="J96" s="1335"/>
      <c r="K96" s="1335"/>
      <c r="L96" s="1460"/>
      <c r="M96" s="866"/>
      <c r="N96" s="864"/>
      <c r="O96" s="90"/>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row>
    <row r="97" spans="1:40" ht="18" customHeight="1">
      <c r="A97" s="777"/>
      <c r="B97" s="4" t="s">
        <v>445</v>
      </c>
      <c r="C97" s="6"/>
      <c r="D97" s="4"/>
      <c r="E97" s="4"/>
      <c r="F97" s="43"/>
      <c r="G97" s="1455" t="str">
        <f>+'Data Feeding'!E163</f>
        <v>Sy.No: 199/a,  Near HP Petrol pump, Abdullapurmet,  Peddaamberpet in Ranga Reddy (Dt)., of Telangana</v>
      </c>
      <c r="H97" s="1456"/>
      <c r="I97" s="1456"/>
      <c r="J97" s="1456"/>
      <c r="K97" s="1456"/>
      <c r="L97" s="1457"/>
      <c r="M97" s="866"/>
      <c r="N97" s="864"/>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row>
    <row r="98" spans="1:40" ht="18" customHeight="1">
      <c r="A98" s="1474"/>
      <c r="B98" s="371"/>
      <c r="C98" s="1028"/>
      <c r="D98" s="371"/>
      <c r="E98" s="371"/>
      <c r="F98" s="1475"/>
      <c r="G98" s="1459"/>
      <c r="H98" s="1335"/>
      <c r="I98" s="1335"/>
      <c r="J98" s="1335"/>
      <c r="K98" s="1335"/>
      <c r="L98" s="1460"/>
      <c r="M98" s="866"/>
      <c r="N98" s="864"/>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row>
    <row r="99" spans="1:40" s="90" customFormat="1" ht="26.25" customHeight="1">
      <c r="A99" s="1508" t="s">
        <v>58</v>
      </c>
      <c r="B99" s="1509"/>
      <c r="C99" s="1509"/>
      <c r="D99" s="1509"/>
      <c r="E99" s="1510"/>
      <c r="F99" s="1505" t="str">
        <f>CONCATENATE("No of Working Days per year are ",'Data Feeding'!F34," Days. ",P99," &amp; Yearly Production: ",'Data Feeding'!L34," ",'Data Feeding'!H46)</f>
        <v>No of Working Days per year are 300 Days.  Average 5 Kgs production per hour  and 8 Hours/shift  with 1 shift/s per day &amp; Yearly Production: 12000 Kgs</v>
      </c>
      <c r="G99" s="1506"/>
      <c r="H99" s="1506"/>
      <c r="I99" s="1506"/>
      <c r="J99" s="1506"/>
      <c r="K99" s="1506"/>
      <c r="L99" s="1507"/>
      <c r="M99" s="866"/>
      <c r="N99" s="864"/>
      <c r="O99" s="189"/>
      <c r="P99" s="1511" t="str">
        <f>CONCATENATE(" Average ",'Data Feeding'!F35," ",'Data Feeding'!G35,," production per hour  and ",'Data Feeding'!J34," Hours/shift  with ",'Data Feeding'!J35," shift/s per day")</f>
        <v xml:space="preserve"> Average 5 Kgs production per hour  and 8 Hours/shift  with 1 shift/s per day</v>
      </c>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row>
    <row r="100" spans="1:40" ht="18" customHeight="1">
      <c r="A100" s="1476" t="s">
        <v>111</v>
      </c>
      <c r="B100" s="1477"/>
      <c r="C100" s="1477"/>
      <c r="D100" s="1477"/>
      <c r="E100" s="1477"/>
      <c r="F100" s="1478" t="str">
        <f>+'Data Feeding'!G30</f>
        <v>Proprietor</v>
      </c>
      <c r="G100" s="1479"/>
      <c r="H100" s="1480" t="s">
        <v>538</v>
      </c>
      <c r="I100" s="1477"/>
      <c r="J100" s="1477"/>
      <c r="K100" s="1478" t="str">
        <f>+'Data Feeding'!E175</f>
        <v>SSC</v>
      </c>
      <c r="L100" s="1481"/>
      <c r="M100" s="866"/>
      <c r="N100" s="864"/>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row>
    <row r="101" spans="1:40" ht="18" customHeight="1">
      <c r="A101" s="1482" t="s">
        <v>3</v>
      </c>
      <c r="B101" s="1237"/>
      <c r="C101" s="1237"/>
      <c r="D101" s="1237"/>
      <c r="E101" s="1237"/>
      <c r="F101" s="1397" t="str">
        <f>+Report!G63</f>
        <v>SC</v>
      </c>
      <c r="G101" s="1398"/>
      <c r="H101" s="1236" t="s">
        <v>551</v>
      </c>
      <c r="I101" s="1237"/>
      <c r="J101" s="1237"/>
      <c r="K101" s="1397" t="str">
        <f>+Report!G64</f>
        <v>Man Category</v>
      </c>
      <c r="L101" s="1403"/>
      <c r="M101" s="866"/>
      <c r="N101" s="864"/>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row>
    <row r="102" spans="1:40" s="90" customFormat="1" ht="18" customHeight="1">
      <c r="A102" s="1482" t="s">
        <v>624</v>
      </c>
      <c r="B102" s="1237"/>
      <c r="C102" s="1237"/>
      <c r="D102" s="1237"/>
      <c r="E102" s="1237"/>
      <c r="F102" s="1397">
        <f>+'Data Feeding'!G14</f>
        <v>9454854559</v>
      </c>
      <c r="G102" s="1398"/>
      <c r="H102" s="1236" t="s">
        <v>623</v>
      </c>
      <c r="I102" s="1237"/>
      <c r="J102" s="1237"/>
      <c r="K102" s="1397" t="str">
        <f>+'Data Feeding'!G13</f>
        <v>aaadnnnddd@gmail.com</v>
      </c>
      <c r="L102" s="1403"/>
      <c r="M102" s="866"/>
      <c r="N102" s="86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row>
    <row r="103" spans="1:40" s="90" customFormat="1" ht="18" customHeight="1">
      <c r="A103" s="1482" t="s">
        <v>548</v>
      </c>
      <c r="B103" s="1237"/>
      <c r="C103" s="1237"/>
      <c r="D103" s="1237"/>
      <c r="E103" s="1237"/>
      <c r="F103" s="1399" t="str">
        <f>+'Data Feeding'!G24</f>
        <v>PAN XYZ 1234</v>
      </c>
      <c r="G103" s="1400"/>
      <c r="H103" s="1236" t="s">
        <v>549</v>
      </c>
      <c r="I103" s="1237"/>
      <c r="J103" s="1237"/>
      <c r="K103" s="1399" t="str">
        <f>+'Data Feeding'!G25</f>
        <v>AADHAR PPP QQQ 456</v>
      </c>
      <c r="L103" s="1404"/>
      <c r="M103" s="866"/>
      <c r="N103" s="864"/>
    </row>
    <row r="104" spans="1:40" ht="18" customHeight="1" thickBot="1">
      <c r="A104" s="1243" t="s">
        <v>57</v>
      </c>
      <c r="B104" s="1235"/>
      <c r="C104" s="1235"/>
      <c r="D104" s="1235"/>
      <c r="E104" s="1235"/>
      <c r="F104" s="1401" t="str">
        <f>CONCATENATE(,'Data Feeding'!N29," ",'Data Feeding'!G35,)</f>
        <v>12000 Kgs</v>
      </c>
      <c r="G104" s="1402"/>
      <c r="H104" s="1234" t="s">
        <v>631</v>
      </c>
      <c r="I104" s="1235"/>
      <c r="J104" s="1235"/>
      <c r="K104" s="1405">
        <f>+'Data Feeding'!H78</f>
        <v>4</v>
      </c>
      <c r="L104" s="1406"/>
      <c r="M104" s="866"/>
      <c r="N104" s="864"/>
      <c r="O104" s="90"/>
      <c r="P104" s="90"/>
      <c r="Q104" s="90"/>
      <c r="R104" s="90"/>
      <c r="S104" s="90"/>
      <c r="T104" s="90"/>
      <c r="U104" s="90"/>
      <c r="V104" s="90"/>
    </row>
    <row r="105" spans="1:40" ht="11.1" customHeight="1" thickTop="1" thickBot="1">
      <c r="M105" s="866"/>
      <c r="N105" s="864"/>
      <c r="O105" s="90"/>
      <c r="P105" s="90"/>
      <c r="Q105" s="90"/>
      <c r="R105" s="90"/>
      <c r="S105" s="90"/>
      <c r="T105" s="90"/>
      <c r="U105" s="90"/>
      <c r="V105" s="90"/>
    </row>
    <row r="106" spans="1:40" ht="18" customHeight="1" thickTop="1">
      <c r="A106" s="1409" t="s">
        <v>539</v>
      </c>
      <c r="B106" s="1410"/>
      <c r="C106" s="1410"/>
      <c r="D106" s="1410"/>
      <c r="E106" s="1410"/>
      <c r="F106" s="1410"/>
      <c r="G106" s="1410"/>
      <c r="H106" s="1410"/>
      <c r="I106" s="1410"/>
      <c r="J106" s="1410"/>
      <c r="K106" s="1410"/>
      <c r="L106" s="1342"/>
      <c r="M106" s="866"/>
      <c r="N106" s="864"/>
      <c r="O106" s="90"/>
      <c r="P106" s="90"/>
      <c r="Q106" s="90"/>
      <c r="R106" s="90"/>
      <c r="S106" s="90"/>
      <c r="T106" s="90"/>
      <c r="U106" s="90"/>
      <c r="V106" s="90"/>
    </row>
    <row r="107" spans="1:40" ht="18" customHeight="1">
      <c r="A107" s="1411" t="s">
        <v>112</v>
      </c>
      <c r="B107" s="1412"/>
      <c r="C107" s="1412"/>
      <c r="D107" s="1412"/>
      <c r="E107" s="1412"/>
      <c r="F107" s="1412"/>
      <c r="G107" s="1412"/>
      <c r="H107" s="1413"/>
      <c r="I107" s="1414" t="s">
        <v>613</v>
      </c>
      <c r="J107" s="1415" t="s">
        <v>94</v>
      </c>
      <c r="K107" s="1416" t="s">
        <v>93</v>
      </c>
      <c r="L107" s="1417" t="s">
        <v>89</v>
      </c>
      <c r="M107" s="866"/>
      <c r="N107" s="864"/>
      <c r="O107" s="90"/>
      <c r="P107" s="90"/>
      <c r="Q107" s="90"/>
      <c r="R107" s="90"/>
      <c r="S107" s="90"/>
      <c r="T107" s="90"/>
      <c r="U107" s="90"/>
      <c r="V107" s="90"/>
    </row>
    <row r="108" spans="1:40" ht="18" customHeight="1">
      <c r="A108" s="777"/>
      <c r="B108" s="4" t="s">
        <v>431</v>
      </c>
      <c r="C108" s="4"/>
      <c r="D108" s="4"/>
      <c r="E108" s="4"/>
      <c r="F108" s="4"/>
      <c r="G108" s="51"/>
      <c r="H108" s="63"/>
      <c r="I108" s="729">
        <f t="shared" ref="I108:I109" si="1">+L108/$L$112*100</f>
        <v>0</v>
      </c>
      <c r="J108" s="707"/>
      <c r="K108" s="707">
        <f>+'Data Feeding'!K80</f>
        <v>0</v>
      </c>
      <c r="L108" s="730">
        <f>K108+J108</f>
        <v>0</v>
      </c>
      <c r="M108" s="1002"/>
      <c r="N108" s="1003"/>
      <c r="O108" s="90"/>
      <c r="P108" s="90"/>
      <c r="Q108" s="90"/>
      <c r="R108" s="90"/>
      <c r="S108" s="90"/>
      <c r="T108" s="90"/>
      <c r="U108" s="90"/>
      <c r="V108" s="90"/>
    </row>
    <row r="109" spans="1:40" ht="18" customHeight="1">
      <c r="A109" s="777"/>
      <c r="B109" s="4" t="s">
        <v>642</v>
      </c>
      <c r="C109" s="4"/>
      <c r="D109" s="4"/>
      <c r="E109" s="4"/>
      <c r="F109" s="6"/>
      <c r="G109" s="4"/>
      <c r="H109" s="63"/>
      <c r="I109" s="729">
        <f t="shared" si="1"/>
        <v>0</v>
      </c>
      <c r="J109" s="707"/>
      <c r="K109" s="707">
        <f>+'Data Feeding'!K81</f>
        <v>0</v>
      </c>
      <c r="L109" s="730">
        <f>K109+J109</f>
        <v>0</v>
      </c>
      <c r="M109" s="1002"/>
      <c r="N109" s="1003"/>
      <c r="O109" s="90"/>
      <c r="P109" s="90"/>
      <c r="Q109" s="90"/>
      <c r="R109" s="90"/>
      <c r="S109" s="90"/>
      <c r="T109" s="90"/>
      <c r="U109" s="90"/>
      <c r="V109" s="90"/>
    </row>
    <row r="110" spans="1:40" ht="18" customHeight="1">
      <c r="A110" s="777"/>
      <c r="B110" s="4" t="str">
        <f>CONCATENATE("3.  PLANT &amp; MACHINERY:  ")</f>
        <v xml:space="preserve">3.  PLANT &amp; MACHINERY:  </v>
      </c>
      <c r="C110" s="4"/>
      <c r="D110" s="4"/>
      <c r="E110" s="4"/>
      <c r="F110" s="4"/>
      <c r="G110" s="4"/>
      <c r="H110" s="63"/>
      <c r="I110" s="729">
        <f>+L110/$L$112*100</f>
        <v>51.457975986277873</v>
      </c>
      <c r="J110" s="707"/>
      <c r="K110" s="1418">
        <f>ROUND(+'Data Feeding'!J91,0)</f>
        <v>600000</v>
      </c>
      <c r="L110" s="730">
        <f>K110+J110</f>
        <v>600000</v>
      </c>
      <c r="M110" s="1002"/>
      <c r="N110" s="1003"/>
      <c r="O110" s="90"/>
      <c r="P110" s="90"/>
      <c r="Q110" s="90"/>
      <c r="R110" s="90"/>
      <c r="S110" s="90"/>
      <c r="T110" s="90"/>
      <c r="U110" s="90"/>
      <c r="V110" s="90"/>
    </row>
    <row r="111" spans="1:40" ht="18" customHeight="1">
      <c r="A111" s="1419"/>
      <c r="B111" s="21" t="str">
        <f>CONCATENATE(" 4. WORKING CAPITAL: (As per Annexure VI)")</f>
        <v xml:space="preserve"> 4. WORKING CAPITAL: (As per Annexure VI)</v>
      </c>
      <c r="C111" s="4"/>
      <c r="D111" s="4"/>
      <c r="E111" s="4"/>
      <c r="F111" s="4"/>
      <c r="G111" s="4"/>
      <c r="H111" s="63"/>
      <c r="I111" s="729">
        <f t="shared" ref="I111" si="2">+L111/$L$112*100</f>
        <v>48.542024013722127</v>
      </c>
      <c r="J111" s="707"/>
      <c r="K111" s="1418">
        <f>+'Data Feeding'!G100</f>
        <v>566000</v>
      </c>
      <c r="L111" s="1420">
        <f>+K111</f>
        <v>566000</v>
      </c>
      <c r="M111" s="1002"/>
      <c r="N111" s="1003"/>
      <c r="O111" s="90"/>
      <c r="P111" s="90"/>
      <c r="Q111" s="90"/>
      <c r="R111" s="90"/>
      <c r="S111" s="90"/>
      <c r="T111" s="90"/>
      <c r="U111" s="90"/>
      <c r="V111" s="90"/>
    </row>
    <row r="112" spans="1:40" ht="18" customHeight="1" thickBot="1">
      <c r="A112" s="1421"/>
      <c r="B112" s="1422"/>
      <c r="C112" s="1422"/>
      <c r="D112" s="1422"/>
      <c r="E112" s="1422"/>
      <c r="F112" s="1422" t="s">
        <v>115</v>
      </c>
      <c r="G112" s="1422"/>
      <c r="H112" s="1423"/>
      <c r="I112" s="1424">
        <f>SUM(I108:I111)</f>
        <v>100</v>
      </c>
      <c r="J112" s="1425"/>
      <c r="K112" s="1425">
        <f>SUM(K108:K111)</f>
        <v>1166000</v>
      </c>
      <c r="L112" s="1426">
        <f>ROUND(K112+J112,0)</f>
        <v>1166000</v>
      </c>
      <c r="M112" s="1002"/>
      <c r="N112" s="1003"/>
      <c r="O112" s="90"/>
      <c r="P112" s="90"/>
      <c r="Q112" s="90"/>
      <c r="R112" s="90"/>
      <c r="S112" s="90"/>
      <c r="T112" s="90"/>
      <c r="U112" s="90"/>
      <c r="V112" s="90"/>
    </row>
    <row r="113" spans="1:22" ht="11.1" customHeight="1" thickTop="1" thickBot="1">
      <c r="A113" s="660"/>
      <c r="B113" s="860"/>
      <c r="C113" s="861"/>
      <c r="D113" s="861"/>
      <c r="E113" s="861"/>
      <c r="F113" s="861"/>
      <c r="G113" s="861"/>
      <c r="H113" s="862"/>
      <c r="I113" s="863"/>
      <c r="J113" s="863"/>
      <c r="K113" s="863"/>
      <c r="L113" s="863"/>
      <c r="M113" s="866"/>
      <c r="N113" s="864"/>
      <c r="O113" s="90"/>
      <c r="P113" s="90"/>
      <c r="Q113" s="90"/>
      <c r="R113" s="90"/>
      <c r="S113" s="90"/>
      <c r="T113" s="90"/>
      <c r="U113" s="90"/>
      <c r="V113" s="90"/>
    </row>
    <row r="114" spans="1:22" ht="18" customHeight="1" thickTop="1">
      <c r="A114" s="1409" t="s">
        <v>116</v>
      </c>
      <c r="B114" s="1410"/>
      <c r="C114" s="1410"/>
      <c r="D114" s="1410"/>
      <c r="E114" s="1410"/>
      <c r="F114" s="1410"/>
      <c r="G114" s="1410"/>
      <c r="H114" s="1410"/>
      <c r="I114" s="1410"/>
      <c r="J114" s="1410"/>
      <c r="K114" s="1410"/>
      <c r="L114" s="1342"/>
      <c r="M114" s="866"/>
      <c r="N114" s="864"/>
      <c r="O114" s="90"/>
      <c r="P114" s="90"/>
      <c r="Q114" s="90"/>
      <c r="R114" s="90"/>
      <c r="S114" s="90"/>
      <c r="T114" s="90"/>
      <c r="U114" s="90"/>
      <c r="V114" s="90"/>
    </row>
    <row r="115" spans="1:22" ht="18" customHeight="1">
      <c r="A115" s="1411" t="s">
        <v>112</v>
      </c>
      <c r="B115" s="1412"/>
      <c r="C115" s="1412"/>
      <c r="D115" s="1412"/>
      <c r="E115" s="1412"/>
      <c r="F115" s="1412"/>
      <c r="G115" s="1412"/>
      <c r="H115" s="1413"/>
      <c r="I115" s="1414" t="s">
        <v>614</v>
      </c>
      <c r="J115" s="1415" t="s">
        <v>94</v>
      </c>
      <c r="K115" s="1416" t="s">
        <v>93</v>
      </c>
      <c r="L115" s="1417" t="s">
        <v>89</v>
      </c>
      <c r="M115" s="866"/>
      <c r="N115" s="864"/>
      <c r="O115" s="90"/>
      <c r="P115" s="90"/>
      <c r="Q115" s="90"/>
      <c r="R115" s="90"/>
      <c r="S115" s="90"/>
      <c r="T115" s="90"/>
      <c r="U115" s="90"/>
      <c r="V115" s="90"/>
    </row>
    <row r="116" spans="1:22" ht="18" customHeight="1">
      <c r="A116" s="1419"/>
      <c r="B116" s="1427" t="s">
        <v>117</v>
      </c>
      <c r="C116" s="1427" t="s">
        <v>327</v>
      </c>
      <c r="D116" s="1428"/>
      <c r="E116" s="1427"/>
      <c r="F116" s="1427"/>
      <c r="G116" s="1427"/>
      <c r="H116" s="1429"/>
      <c r="I116" s="1430">
        <f>+L116/L120*100</f>
        <v>22.427101200686106</v>
      </c>
      <c r="J116" s="1431"/>
      <c r="K116" s="1431">
        <f>+'Data Feeding'!I108</f>
        <v>261500</v>
      </c>
      <c r="L116" s="1432">
        <f>ROUND(+J116+K116,0)</f>
        <v>261500</v>
      </c>
      <c r="M116" s="866"/>
      <c r="N116" s="864"/>
      <c r="O116" s="90"/>
      <c r="P116" s="90"/>
      <c r="Q116" s="90"/>
      <c r="R116" s="90"/>
      <c r="S116" s="90"/>
      <c r="T116" s="90"/>
      <c r="U116" s="90"/>
      <c r="V116" s="90"/>
    </row>
    <row r="117" spans="1:22" ht="18" customHeight="1">
      <c r="A117" s="777"/>
      <c r="B117" s="4" t="s">
        <v>113</v>
      </c>
      <c r="C117" s="4" t="s">
        <v>118</v>
      </c>
      <c r="D117" s="8"/>
      <c r="E117" s="4"/>
      <c r="F117" s="4"/>
      <c r="G117" s="4"/>
      <c r="H117" s="63"/>
      <c r="I117" s="729"/>
      <c r="J117" s="707"/>
      <c r="K117" s="707"/>
      <c r="L117" s="730" t="s">
        <v>92</v>
      </c>
      <c r="M117" s="866"/>
      <c r="N117" s="864"/>
      <c r="O117" s="90"/>
      <c r="P117" s="90"/>
      <c r="Q117" s="90"/>
      <c r="R117" s="90"/>
      <c r="S117" s="90"/>
      <c r="T117" s="90"/>
      <c r="U117" s="90"/>
      <c r="V117" s="90"/>
    </row>
    <row r="118" spans="1:22" ht="18" customHeight="1">
      <c r="A118" s="777"/>
      <c r="B118" s="4"/>
      <c r="C118" s="1005" t="s">
        <v>136</v>
      </c>
      <c r="D118" s="4" t="s">
        <v>38</v>
      </c>
      <c r="E118" s="4"/>
      <c r="F118" s="4"/>
      <c r="G118" s="4"/>
      <c r="H118" s="63"/>
      <c r="I118" s="729">
        <f>+'Data Feeding'!J106</f>
        <v>80</v>
      </c>
      <c r="J118" s="707"/>
      <c r="K118" s="707">
        <f>+'Data Feeding'!K106</f>
        <v>480000</v>
      </c>
      <c r="L118" s="1420">
        <f>ROUND(+K118+J118,0)</f>
        <v>480000</v>
      </c>
      <c r="M118" s="866"/>
      <c r="N118" s="864"/>
      <c r="O118" s="90"/>
      <c r="P118" s="90"/>
      <c r="Q118" s="90"/>
      <c r="R118" s="90"/>
      <c r="S118" s="90"/>
      <c r="T118" s="90"/>
      <c r="U118" s="90"/>
      <c r="V118" s="90"/>
    </row>
    <row r="119" spans="1:22" ht="18" customHeight="1">
      <c r="A119" s="777"/>
      <c r="B119" s="1427"/>
      <c r="C119" s="1433" t="s">
        <v>114</v>
      </c>
      <c r="D119" s="1427" t="s">
        <v>303</v>
      </c>
      <c r="E119" s="1427"/>
      <c r="F119" s="4"/>
      <c r="G119" s="1427"/>
      <c r="H119" s="1429"/>
      <c r="I119" s="1434">
        <f>+'Data Feeding'!J107</f>
        <v>75</v>
      </c>
      <c r="J119" s="1435"/>
      <c r="K119" s="1431">
        <f>+'Data Feeding'!K107</f>
        <v>424500</v>
      </c>
      <c r="L119" s="1420">
        <f>ROUND(+K119+J119,0)</f>
        <v>424500</v>
      </c>
      <c r="M119" s="866"/>
      <c r="N119" s="864"/>
      <c r="O119" s="90"/>
      <c r="P119" s="90"/>
      <c r="Q119" s="90"/>
      <c r="R119" s="90"/>
      <c r="S119" s="90"/>
      <c r="T119" s="90"/>
      <c r="U119" s="90"/>
      <c r="V119" s="90"/>
    </row>
    <row r="120" spans="1:22" ht="18" customHeight="1" thickBot="1">
      <c r="A120" s="1436"/>
      <c r="B120" s="1422"/>
      <c r="C120" s="1422"/>
      <c r="D120" s="1437"/>
      <c r="E120" s="1422"/>
      <c r="F120" s="1422" t="s">
        <v>246</v>
      </c>
      <c r="G120" s="1422"/>
      <c r="H120" s="1423"/>
      <c r="I120" s="1424"/>
      <c r="J120" s="1425">
        <f>SUM(J116:J119)</f>
        <v>0</v>
      </c>
      <c r="K120" s="1425">
        <f>SUM(K116:K119)</f>
        <v>1166000</v>
      </c>
      <c r="L120" s="1438">
        <f>SUM(L116:L119)</f>
        <v>1166000</v>
      </c>
      <c r="M120" s="866"/>
      <c r="N120" s="864"/>
      <c r="O120" s="90"/>
      <c r="P120" s="90"/>
      <c r="Q120" s="90"/>
      <c r="R120" s="90"/>
      <c r="S120" s="90"/>
      <c r="T120" s="90"/>
      <c r="U120" s="90"/>
      <c r="V120" s="90"/>
    </row>
    <row r="121" spans="1:22" s="90" customFormat="1" ht="11.1" customHeight="1" thickTop="1" thickBot="1">
      <c r="A121" s="524"/>
      <c r="B121" s="4"/>
      <c r="C121" s="4"/>
      <c r="D121" s="8"/>
      <c r="E121" s="4"/>
      <c r="F121" s="4"/>
      <c r="G121" s="4"/>
      <c r="H121" s="63"/>
      <c r="I121" s="731"/>
      <c r="J121" s="66"/>
      <c r="K121" s="732"/>
      <c r="L121" s="732"/>
      <c r="M121" s="866"/>
      <c r="N121" s="864"/>
    </row>
    <row r="122" spans="1:22" s="90" customFormat="1" ht="18" customHeight="1" thickTop="1">
      <c r="A122" s="1382" t="s">
        <v>626</v>
      </c>
      <c r="B122" s="1383"/>
      <c r="C122" s="1383"/>
      <c r="D122" s="1383"/>
      <c r="E122" s="1383"/>
      <c r="F122" s="1383"/>
      <c r="G122" s="1383"/>
      <c r="H122" s="1383"/>
      <c r="I122" s="1383"/>
      <c r="J122" s="1383"/>
      <c r="K122" s="1383"/>
      <c r="L122" s="1384"/>
      <c r="M122" s="866"/>
      <c r="N122" s="864"/>
    </row>
    <row r="123" spans="1:22" s="90" customFormat="1" ht="18" customHeight="1">
      <c r="A123" s="1239" t="s">
        <v>577</v>
      </c>
      <c r="B123" s="1240"/>
      <c r="C123" s="1240"/>
      <c r="D123" s="1240"/>
      <c r="E123" s="1240"/>
      <c r="F123" s="522" t="str">
        <f t="shared" ref="F123:L126" si="3">+F296</f>
        <v>1st</v>
      </c>
      <c r="G123" s="522" t="str">
        <f t="shared" si="3"/>
        <v>2nd</v>
      </c>
      <c r="H123" s="522" t="str">
        <f t="shared" si="3"/>
        <v>3rd</v>
      </c>
      <c r="I123" s="522" t="str">
        <f t="shared" si="3"/>
        <v>4th</v>
      </c>
      <c r="J123" s="522" t="str">
        <f t="shared" si="3"/>
        <v>5th</v>
      </c>
      <c r="K123" s="522" t="str">
        <f t="shared" si="3"/>
        <v>6th</v>
      </c>
      <c r="L123" s="523" t="str">
        <f t="shared" si="3"/>
        <v>7th</v>
      </c>
      <c r="M123" s="866"/>
      <c r="N123" s="864"/>
    </row>
    <row r="124" spans="1:22" s="90" customFormat="1" ht="18" customHeight="1">
      <c r="A124" s="1239" t="s">
        <v>577</v>
      </c>
      <c r="B124" s="1240"/>
      <c r="C124" s="1240"/>
      <c r="D124" s="1240"/>
      <c r="E124" s="1240"/>
      <c r="F124" s="522" t="str">
        <f t="shared" si="3"/>
        <v xml:space="preserve"> 2020-21</v>
      </c>
      <c r="G124" s="522" t="str">
        <f t="shared" si="3"/>
        <v xml:space="preserve"> 2021-22</v>
      </c>
      <c r="H124" s="522" t="str">
        <f t="shared" si="3"/>
        <v xml:space="preserve"> 2022-23</v>
      </c>
      <c r="I124" s="522" t="str">
        <f t="shared" si="3"/>
        <v xml:space="preserve"> 2023-24</v>
      </c>
      <c r="J124" s="522" t="str">
        <f t="shared" si="3"/>
        <v xml:space="preserve"> 2024-25</v>
      </c>
      <c r="K124" s="522" t="str">
        <f t="shared" si="3"/>
        <v xml:space="preserve"> 2025-26</v>
      </c>
      <c r="L124" s="523" t="str">
        <f t="shared" si="3"/>
        <v xml:space="preserve"> 2026-27</v>
      </c>
      <c r="M124" s="866"/>
      <c r="N124" s="864"/>
    </row>
    <row r="125" spans="1:22" s="90" customFormat="1" ht="18" customHeight="1">
      <c r="A125" s="1239" t="s">
        <v>578</v>
      </c>
      <c r="B125" s="1240"/>
      <c r="C125" s="1240"/>
      <c r="D125" s="1240"/>
      <c r="E125" s="1240"/>
      <c r="F125" s="525">
        <f t="shared" si="3"/>
        <v>7200</v>
      </c>
      <c r="G125" s="525">
        <f t="shared" si="3"/>
        <v>8400</v>
      </c>
      <c r="H125" s="525">
        <f t="shared" si="3"/>
        <v>9600</v>
      </c>
      <c r="I125" s="525">
        <f t="shared" si="3"/>
        <v>10800</v>
      </c>
      <c r="J125" s="525">
        <f t="shared" si="3"/>
        <v>10800</v>
      </c>
      <c r="K125" s="525">
        <f t="shared" si="3"/>
        <v>10800</v>
      </c>
      <c r="L125" s="526">
        <f t="shared" si="3"/>
        <v>10800</v>
      </c>
      <c r="M125" s="866"/>
      <c r="N125" s="864"/>
    </row>
    <row r="126" spans="1:22" s="90" customFormat="1" ht="18" customHeight="1">
      <c r="A126" s="1239" t="s">
        <v>579</v>
      </c>
      <c r="B126" s="1240"/>
      <c r="C126" s="1240"/>
      <c r="D126" s="1240"/>
      <c r="E126" s="1240"/>
      <c r="F126" s="525">
        <f t="shared" si="3"/>
        <v>60</v>
      </c>
      <c r="G126" s="525">
        <f t="shared" si="3"/>
        <v>70</v>
      </c>
      <c r="H126" s="525">
        <f t="shared" si="3"/>
        <v>80</v>
      </c>
      <c r="I126" s="525">
        <f t="shared" si="3"/>
        <v>90</v>
      </c>
      <c r="J126" s="525">
        <f t="shared" si="3"/>
        <v>90</v>
      </c>
      <c r="K126" s="525">
        <f t="shared" si="3"/>
        <v>90</v>
      </c>
      <c r="L126" s="526">
        <f t="shared" si="3"/>
        <v>90</v>
      </c>
      <c r="M126" s="866"/>
      <c r="N126" s="864"/>
    </row>
    <row r="127" spans="1:22" s="90" customFormat="1" ht="18" customHeight="1">
      <c r="A127" s="1241" t="s">
        <v>580</v>
      </c>
      <c r="B127" s="1242"/>
      <c r="C127" s="1242"/>
      <c r="D127" s="1242"/>
      <c r="E127" s="1242"/>
      <c r="F127" s="998">
        <f>+F302</f>
        <v>2592000</v>
      </c>
      <c r="G127" s="998">
        <f>+G302</f>
        <v>3024000</v>
      </c>
      <c r="H127" s="998">
        <f ca="1">+H302</f>
        <v>3476161.0300000003</v>
      </c>
      <c r="I127" s="998">
        <f ca="1">+I302*P3185</f>
        <v>3926880</v>
      </c>
      <c r="J127" s="998">
        <f ca="1">+I127</f>
        <v>3926880</v>
      </c>
      <c r="K127" s="998">
        <f ca="1">+J127</f>
        <v>3926880</v>
      </c>
      <c r="L127" s="999">
        <f ca="1">+K127</f>
        <v>3926880</v>
      </c>
      <c r="M127" s="866"/>
      <c r="N127" s="864"/>
    </row>
    <row r="128" spans="1:22" s="90" customFormat="1" ht="18" customHeight="1">
      <c r="A128" s="1241" t="s">
        <v>581</v>
      </c>
      <c r="B128" s="1242"/>
      <c r="C128" s="1242"/>
      <c r="D128" s="1242"/>
      <c r="E128" s="1242"/>
      <c r="F128" s="998">
        <f t="shared" ref="F128:L128" si="4">+F319</f>
        <v>22963.5</v>
      </c>
      <c r="G128" s="998">
        <f t="shared" ca="1" si="4"/>
        <v>95289</v>
      </c>
      <c r="H128" s="998">
        <f t="shared" ca="1" si="4"/>
        <v>169069.27882500051</v>
      </c>
      <c r="I128" s="998">
        <f t="shared" ca="1" si="4"/>
        <v>223789.72500000001</v>
      </c>
      <c r="J128" s="998">
        <f t="shared" ca="1" si="4"/>
        <v>234157.72500000001</v>
      </c>
      <c r="K128" s="998">
        <f t="shared" ca="1" si="4"/>
        <v>241933.72500000001</v>
      </c>
      <c r="L128" s="999">
        <f t="shared" ca="1" si="4"/>
        <v>242365.72500000001</v>
      </c>
      <c r="M128" s="866"/>
      <c r="N128" s="864"/>
    </row>
    <row r="129" spans="1:22" s="90" customFormat="1" ht="18" customHeight="1">
      <c r="A129" s="1241" t="s">
        <v>582</v>
      </c>
      <c r="B129" s="1242"/>
      <c r="C129" s="1242"/>
      <c r="D129" s="1242"/>
      <c r="E129" s="1242"/>
      <c r="F129" s="998">
        <f t="shared" ref="F129:J129" si="5">+F335</f>
        <v>408000</v>
      </c>
      <c r="G129" s="998">
        <f t="shared" si="5"/>
        <v>312000</v>
      </c>
      <c r="H129" s="998">
        <f t="shared" si="5"/>
        <v>216000</v>
      </c>
      <c r="I129" s="998">
        <f t="shared" si="5"/>
        <v>120000</v>
      </c>
      <c r="J129" s="998">
        <f t="shared" si="5"/>
        <v>24000</v>
      </c>
      <c r="K129" s="998">
        <f ca="1">+K335</f>
        <v>0</v>
      </c>
      <c r="L129" s="999">
        <f ca="1">+L335</f>
        <v>0</v>
      </c>
      <c r="M129" s="866"/>
      <c r="N129" s="864"/>
    </row>
    <row r="130" spans="1:22" s="90" customFormat="1" ht="18" customHeight="1">
      <c r="A130" s="1380" t="s">
        <v>646</v>
      </c>
      <c r="B130" s="1381"/>
      <c r="C130" s="1381"/>
      <c r="D130" s="1381"/>
      <c r="E130" s="1381"/>
      <c r="F130" s="1000">
        <f t="shared" ref="F130:L130" si="6">+F333+F334</f>
        <v>284463.5</v>
      </c>
      <c r="G130" s="1000">
        <f t="shared" ca="1" si="6"/>
        <v>379752.5</v>
      </c>
      <c r="H130" s="1000">
        <f t="shared" ca="1" si="6"/>
        <v>548821.77882500051</v>
      </c>
      <c r="I130" s="1000">
        <f t="shared" ca="1" si="6"/>
        <v>772611.50382500049</v>
      </c>
      <c r="J130" s="1000">
        <f t="shared" ca="1" si="6"/>
        <v>1006769.2288250005</v>
      </c>
      <c r="K130" s="1000">
        <f t="shared" ca="1" si="6"/>
        <v>1248702.9538250004</v>
      </c>
      <c r="L130" s="1001">
        <f t="shared" ca="1" si="6"/>
        <v>1491068.6788250005</v>
      </c>
      <c r="M130" s="866"/>
      <c r="N130" s="864"/>
    </row>
    <row r="131" spans="1:22" s="90" customFormat="1" ht="18" customHeight="1" thickBot="1">
      <c r="A131" s="1439" t="s">
        <v>98</v>
      </c>
      <c r="B131" s="1440"/>
      <c r="C131" s="1440"/>
      <c r="D131" s="1441"/>
      <c r="E131" s="739">
        <f ca="1">+F428</f>
        <v>2.374420249892323</v>
      </c>
      <c r="F131" s="743" t="s">
        <v>527</v>
      </c>
      <c r="G131" s="740">
        <f ca="1">+H413</f>
        <v>67.29934728628298</v>
      </c>
      <c r="H131" s="744" t="s">
        <v>627</v>
      </c>
      <c r="I131" s="741" t="s">
        <v>629</v>
      </c>
      <c r="J131" s="1442" t="s">
        <v>628</v>
      </c>
      <c r="K131" s="1443"/>
      <c r="L131" s="742">
        <f>+'Data Feeding'!H69</f>
        <v>5</v>
      </c>
      <c r="M131" s="866"/>
      <c r="N131" s="864"/>
    </row>
    <row r="132" spans="1:22" ht="9" customHeight="1" thickTop="1">
      <c r="A132" s="126"/>
      <c r="B132" s="90"/>
      <c r="C132" s="90"/>
      <c r="D132" s="90"/>
      <c r="E132" s="90"/>
      <c r="F132" s="90"/>
      <c r="G132" s="90"/>
      <c r="H132" s="101"/>
      <c r="I132" s="90"/>
      <c r="J132" s="90"/>
      <c r="K132" s="90"/>
      <c r="L132" s="90"/>
      <c r="M132" s="866"/>
      <c r="N132" s="864"/>
      <c r="O132" s="90"/>
      <c r="P132" s="90"/>
      <c r="Q132" s="90"/>
      <c r="R132" s="90"/>
      <c r="S132" s="90"/>
      <c r="T132" s="90"/>
      <c r="U132" s="90"/>
      <c r="V132" s="90"/>
    </row>
    <row r="133" spans="1:22" ht="12.75" customHeight="1">
      <c r="A133" s="126"/>
      <c r="B133" s="90"/>
      <c r="C133" s="90"/>
      <c r="D133" s="90"/>
      <c r="E133" s="90"/>
      <c r="F133" s="90"/>
      <c r="G133" s="90"/>
      <c r="H133" s="101"/>
      <c r="I133" s="90"/>
      <c r="J133" s="90"/>
      <c r="K133" s="90"/>
      <c r="L133" s="90"/>
      <c r="M133" s="866"/>
      <c r="N133" s="864"/>
      <c r="O133" s="90"/>
      <c r="P133" s="90"/>
      <c r="Q133" s="90"/>
      <c r="R133" s="90"/>
      <c r="S133" s="90"/>
      <c r="T133" s="90"/>
      <c r="U133" s="90"/>
      <c r="V133" s="90"/>
    </row>
    <row r="134" spans="1:22" ht="18" customHeight="1" thickBot="1">
      <c r="A134" s="372"/>
      <c r="B134" s="373" t="str">
        <f>+'Data Feeding'!E172</f>
        <v>M/s. SAI VENKATESWARA MASALA POWDERS, Mr. UTTAM  KRISHNAIH</v>
      </c>
      <c r="C134" s="364"/>
      <c r="D134" s="365"/>
      <c r="E134" s="364"/>
      <c r="F134" s="364"/>
      <c r="G134" s="364"/>
      <c r="H134" s="374"/>
      <c r="I134" s="364"/>
      <c r="J134" s="375"/>
      <c r="K134" s="366"/>
      <c r="L134" s="376" t="str">
        <f>CONCATENATE("--  P. ",C35," --")</f>
        <v>--  P. 4 --</v>
      </c>
      <c r="M134" s="866"/>
      <c r="N134" s="864"/>
      <c r="O134" s="90"/>
      <c r="P134" s="90"/>
      <c r="Q134" s="90"/>
      <c r="R134" s="90"/>
      <c r="S134" s="90"/>
      <c r="T134" s="90"/>
      <c r="U134" s="90"/>
      <c r="V134" s="90"/>
    </row>
    <row r="135" spans="1:22" ht="18" customHeight="1" thickTop="1">
      <c r="A135" s="1339" t="s">
        <v>441</v>
      </c>
      <c r="B135" s="1340"/>
      <c r="C135" s="1340"/>
      <c r="D135" s="1340"/>
      <c r="E135" s="1340"/>
      <c r="F135" s="1340"/>
      <c r="G135" s="1340"/>
      <c r="H135" s="1340"/>
      <c r="I135" s="1340"/>
      <c r="J135" s="1340"/>
      <c r="K135" s="1340"/>
      <c r="L135" s="1341"/>
      <c r="M135" s="866"/>
      <c r="N135" s="864"/>
      <c r="O135" s="90"/>
      <c r="P135" s="90"/>
      <c r="Q135" s="90"/>
      <c r="R135" s="90"/>
      <c r="S135" s="90"/>
      <c r="T135" s="90"/>
      <c r="U135" s="90"/>
      <c r="V135" s="90"/>
    </row>
    <row r="136" spans="1:22" ht="15.95" customHeight="1">
      <c r="A136" s="587"/>
      <c r="B136" s="302" t="str">
        <f>CONCATENATE("Total Expected Gross Sales / Receipts at 100% Capacity Utilisation = ",'Data Feeding'!N29,"  ",'Data Feeding'!G35,)</f>
        <v>Total Expected Gross Sales / Receipts at 100% Capacity Utilisation = 12000  Kgs</v>
      </c>
      <c r="C136" s="588"/>
      <c r="D136" s="302"/>
      <c r="E136" s="302"/>
      <c r="F136" s="302"/>
      <c r="G136" s="302"/>
      <c r="H136" s="589"/>
      <c r="I136" s="302"/>
      <c r="J136" s="590"/>
      <c r="K136" s="588"/>
      <c r="L136" s="591"/>
      <c r="M136" s="866"/>
      <c r="N136" s="864"/>
      <c r="O136" s="90"/>
      <c r="P136" s="90"/>
      <c r="Q136" s="90"/>
      <c r="R136" s="90"/>
      <c r="S136" s="90"/>
      <c r="T136" s="90"/>
      <c r="U136" s="90"/>
      <c r="V136" s="90"/>
    </row>
    <row r="137" spans="1:22" ht="15.95" customHeight="1">
      <c r="A137" s="797"/>
      <c r="B137" s="1376" t="s">
        <v>442</v>
      </c>
      <c r="C137" s="1376"/>
      <c r="D137" s="1376"/>
      <c r="E137" s="1376"/>
      <c r="F137" s="1377"/>
      <c r="G137" s="592" t="s">
        <v>588</v>
      </c>
      <c r="H137" s="593"/>
      <c r="I137" s="594" t="str">
        <f>+'Data Feeding'!F36</f>
        <v>1st</v>
      </c>
      <c r="J137" s="594" t="str">
        <f>+'Data Feeding'!G36</f>
        <v>2nd</v>
      </c>
      <c r="K137" s="594" t="str">
        <f>+'Data Feeding'!H36</f>
        <v>3rd</v>
      </c>
      <c r="L137" s="595" t="str">
        <f>+'Data Feeding'!I36</f>
        <v>4th</v>
      </c>
      <c r="M137" s="866"/>
      <c r="N137" s="864"/>
      <c r="O137" s="90"/>
      <c r="P137" s="90"/>
      <c r="Q137" s="90"/>
      <c r="R137" s="90"/>
      <c r="S137" s="90"/>
      <c r="T137" s="90"/>
      <c r="U137" s="90"/>
      <c r="V137" s="90"/>
    </row>
    <row r="138" spans="1:22" ht="15.95" customHeight="1">
      <c r="A138" s="798"/>
      <c r="B138" s="1378"/>
      <c r="C138" s="1378"/>
      <c r="D138" s="1378"/>
      <c r="E138" s="1378"/>
      <c r="F138" s="1379"/>
      <c r="G138" s="592" t="s">
        <v>440</v>
      </c>
      <c r="H138" s="596" t="s">
        <v>439</v>
      </c>
      <c r="I138" s="594" t="str">
        <f>+'Data Feeding'!F37</f>
        <v xml:space="preserve"> 2020-21</v>
      </c>
      <c r="J138" s="594" t="str">
        <f>+'Data Feeding'!G37</f>
        <v xml:space="preserve"> 2021-22</v>
      </c>
      <c r="K138" s="594" t="str">
        <f>+'Data Feeding'!H37</f>
        <v xml:space="preserve"> 2022-23</v>
      </c>
      <c r="L138" s="595" t="str">
        <f>+'Data Feeding'!I37</f>
        <v xml:space="preserve"> 2023-24</v>
      </c>
      <c r="M138" s="866"/>
      <c r="N138" s="864"/>
      <c r="O138" s="90"/>
      <c r="P138" s="90"/>
      <c r="Q138" s="90"/>
      <c r="R138" s="90"/>
      <c r="S138" s="90"/>
      <c r="T138" s="90"/>
      <c r="U138" s="90"/>
      <c r="V138" s="90"/>
    </row>
    <row r="139" spans="1:22" ht="15.95" customHeight="1">
      <c r="A139" s="799"/>
      <c r="B139" s="800" t="s">
        <v>630</v>
      </c>
      <c r="C139" s="801"/>
      <c r="D139" s="801"/>
      <c r="E139" s="801"/>
      <c r="F139" s="1408" t="s">
        <v>619</v>
      </c>
      <c r="G139" s="733" t="s">
        <v>620</v>
      </c>
      <c r="H139" s="1407" t="s">
        <v>129</v>
      </c>
      <c r="I139" s="733">
        <f>'Data Feeding'!F38</f>
        <v>60</v>
      </c>
      <c r="J139" s="733">
        <f>'Data Feeding'!G38</f>
        <v>70</v>
      </c>
      <c r="K139" s="733">
        <f>'Data Feeding'!H38</f>
        <v>80</v>
      </c>
      <c r="L139" s="734">
        <f>'Data Feeding'!I38</f>
        <v>90</v>
      </c>
      <c r="M139" s="866"/>
      <c r="N139" s="864"/>
      <c r="O139" s="90"/>
      <c r="P139" s="90"/>
      <c r="Q139" s="90"/>
      <c r="R139" s="90"/>
      <c r="S139" s="90"/>
      <c r="T139" s="90"/>
      <c r="U139" s="90"/>
      <c r="V139" s="90"/>
    </row>
    <row r="140" spans="1:22" s="90" customFormat="1" ht="18" customHeight="1">
      <c r="A140" s="789" t="str">
        <f>'Data Feeding'!B46</f>
        <v>A</v>
      </c>
      <c r="B140" s="790" t="str">
        <f>CONCATENATE(,'Data Feeding'!D46," - ",'Data Feeding'!H46,)</f>
        <v>DHANIA POWDER - Kgs</v>
      </c>
      <c r="C140" s="791"/>
      <c r="D140" s="790"/>
      <c r="E140" s="790"/>
      <c r="F140" s="792">
        <f>+'Data Feeding'!G46</f>
        <v>4500</v>
      </c>
      <c r="G140" s="994">
        <f>+'Data Feeding'!I46</f>
        <v>240</v>
      </c>
      <c r="H140" s="868">
        <f>+G140*F140</f>
        <v>1080000</v>
      </c>
      <c r="I140" s="868">
        <f>H140*Report!$I$139/100</f>
        <v>648000</v>
      </c>
      <c r="J140" s="868">
        <f>H140*Report!$J$139/100</f>
        <v>756000</v>
      </c>
      <c r="K140" s="868">
        <f>H140*Report!$K$139/100</f>
        <v>864000</v>
      </c>
      <c r="L140" s="870">
        <f>$H$140*Report!L139/100</f>
        <v>972000</v>
      </c>
      <c r="M140" s="866"/>
      <c r="N140" s="864"/>
    </row>
    <row r="141" spans="1:22" s="90" customFormat="1" ht="18" customHeight="1">
      <c r="A141" s="793"/>
      <c r="B141" s="794"/>
      <c r="C141" s="795" t="str">
        <f>+'Data Feeding'!J46</f>
        <v>Used in making food items / curries</v>
      </c>
      <c r="D141" s="794"/>
      <c r="E141" s="794"/>
      <c r="F141" s="796"/>
      <c r="G141" s="994"/>
      <c r="H141" s="868"/>
      <c r="I141" s="868"/>
      <c r="J141" s="868"/>
      <c r="K141" s="868"/>
      <c r="L141" s="870"/>
      <c r="M141" s="866"/>
      <c r="N141" s="864"/>
    </row>
    <row r="142" spans="1:22" s="90" customFormat="1" ht="18" customHeight="1">
      <c r="A142" s="789" t="str">
        <f>'Data Feeding'!B47</f>
        <v>B</v>
      </c>
      <c r="B142" s="790" t="str">
        <f>CONCATENATE(,'Data Feeding'!D47," - ",'Data Feeding'!H47,)</f>
        <v>CHILLIES POWDER - MTS</v>
      </c>
      <c r="C142" s="791"/>
      <c r="D142" s="790"/>
      <c r="E142" s="790"/>
      <c r="F142" s="792">
        <f>+'Data Feeding'!G47</f>
        <v>2400</v>
      </c>
      <c r="G142" s="994">
        <f>+'Data Feeding'!I47</f>
        <v>350</v>
      </c>
      <c r="H142" s="868">
        <f t="shared" ref="H142:H146" si="7">+G142*F142</f>
        <v>840000</v>
      </c>
      <c r="I142" s="868">
        <f>H142*Report!$I$139/100</f>
        <v>504000</v>
      </c>
      <c r="J142" s="868">
        <f>H142*Report!$J$139/100</f>
        <v>588000</v>
      </c>
      <c r="K142" s="868">
        <f ca="1">(H142*Report!$K$139/100)*P3079</f>
        <v>692160</v>
      </c>
      <c r="L142" s="870">
        <f>$H$142*Report!L139/100</f>
        <v>756000</v>
      </c>
      <c r="M142" s="866"/>
      <c r="N142" s="864"/>
    </row>
    <row r="143" spans="1:22" s="90" customFormat="1" ht="18" customHeight="1">
      <c r="A143" s="793"/>
      <c r="B143" s="794"/>
      <c r="C143" s="795" t="str">
        <f>+'Data Feeding'!J47</f>
        <v>Used in making food items / curries</v>
      </c>
      <c r="D143" s="794"/>
      <c r="E143" s="794"/>
      <c r="F143" s="796"/>
      <c r="G143" s="994"/>
      <c r="H143" s="868"/>
      <c r="I143" s="868"/>
      <c r="J143" s="868"/>
      <c r="K143" s="868"/>
      <c r="L143" s="870"/>
      <c r="M143" s="866"/>
      <c r="N143" s="864"/>
    </row>
    <row r="144" spans="1:22" s="90" customFormat="1" ht="18" customHeight="1">
      <c r="A144" s="789" t="str">
        <f>'Data Feeding'!B48</f>
        <v>C</v>
      </c>
      <c r="B144" s="790" t="str">
        <f>CONCATENATE(,'Data Feeding'!D48," - ",'Data Feeding'!H48,)</f>
        <v>TURMARIC POWDER - QUINTALS</v>
      </c>
      <c r="C144" s="791"/>
      <c r="D144" s="790"/>
      <c r="E144" s="790"/>
      <c r="F144" s="792">
        <f>+'Data Feeding'!G48</f>
        <v>1800</v>
      </c>
      <c r="G144" s="994">
        <f>+'Data Feeding'!I48</f>
        <v>400</v>
      </c>
      <c r="H144" s="868">
        <f t="shared" si="7"/>
        <v>720000</v>
      </c>
      <c r="I144" s="868">
        <f>H144*Report!$I$139/100</f>
        <v>432000</v>
      </c>
      <c r="J144" s="868">
        <f>H144*Report!$J$139/100</f>
        <v>504000</v>
      </c>
      <c r="K144" s="868">
        <f ca="1">(H144*Report!$K$139/100)+P3079</f>
        <v>576001.03</v>
      </c>
      <c r="L144" s="870">
        <f>$H$144*Report!L139/100</f>
        <v>648000</v>
      </c>
      <c r="M144" s="866"/>
      <c r="N144" s="864"/>
    </row>
    <row r="145" spans="1:22" s="90" customFormat="1" ht="18" customHeight="1">
      <c r="A145" s="793"/>
      <c r="B145" s="794"/>
      <c r="C145" s="795" t="str">
        <f>+'Data Feeding'!J48</f>
        <v>Used in making food items / curries</v>
      </c>
      <c r="D145" s="794"/>
      <c r="E145" s="794"/>
      <c r="F145" s="796"/>
      <c r="G145" s="994"/>
      <c r="H145" s="868"/>
      <c r="I145" s="868"/>
      <c r="J145" s="868"/>
      <c r="K145" s="868"/>
      <c r="L145" s="870"/>
      <c r="M145" s="866"/>
      <c r="N145" s="864"/>
    </row>
    <row r="146" spans="1:22" s="90" customFormat="1" ht="18" customHeight="1">
      <c r="A146" s="789" t="str">
        <f>'Data Feeding'!B49</f>
        <v>D</v>
      </c>
      <c r="B146" s="790" t="str">
        <f>CONCATENATE(,'Data Feeding'!D49," - ",'Data Feeding'!H49,)</f>
        <v>xxxx - GRAMS</v>
      </c>
      <c r="C146" s="791"/>
      <c r="D146" s="790"/>
      <c r="E146" s="790"/>
      <c r="F146" s="792">
        <f>+'Data Feeding'!G49</f>
        <v>3000</v>
      </c>
      <c r="G146" s="994">
        <f>+'Data Feeding'!I49</f>
        <v>560</v>
      </c>
      <c r="H146" s="868">
        <f t="shared" si="7"/>
        <v>1680000</v>
      </c>
      <c r="I146" s="868">
        <f>H146*Report!$I$139/100</f>
        <v>1008000</v>
      </c>
      <c r="J146" s="868">
        <f>H146*Report!$J$139/100</f>
        <v>1176000</v>
      </c>
      <c r="K146" s="868">
        <f>H146*Report!$K$139/100</f>
        <v>1344000</v>
      </c>
      <c r="L146" s="870">
        <f>$H$146*Report!L139/100</f>
        <v>1512000</v>
      </c>
      <c r="M146" s="866"/>
      <c r="N146" s="864"/>
    </row>
    <row r="147" spans="1:22" s="90" customFormat="1" ht="18" customHeight="1">
      <c r="A147" s="793"/>
      <c r="B147" s="794"/>
      <c r="C147" s="795" t="str">
        <f>+'Data Feeding'!J49</f>
        <v>Used in making food items / curries</v>
      </c>
      <c r="D147" s="794"/>
      <c r="E147" s="794"/>
      <c r="F147" s="796"/>
      <c r="G147" s="994"/>
      <c r="H147" s="868"/>
      <c r="I147" s="868"/>
      <c r="J147" s="868"/>
      <c r="K147" s="868"/>
      <c r="L147" s="870"/>
      <c r="M147" s="866"/>
      <c r="N147" s="864"/>
    </row>
    <row r="148" spans="1:22" s="90" customFormat="1" ht="18" customHeight="1">
      <c r="A148" s="1330"/>
      <c r="B148" s="1331"/>
      <c r="C148" s="1331"/>
      <c r="D148" s="1331"/>
      <c r="E148" s="1331"/>
      <c r="F148" s="1332"/>
      <c r="G148" s="994">
        <f t="shared" ref="G148:L148" si="8">SUM(G140:G146)</f>
        <v>1550</v>
      </c>
      <c r="H148" s="868">
        <f>SUM(H140:H147)</f>
        <v>4320000</v>
      </c>
      <c r="I148" s="868">
        <f>SUM(I140:I147)</f>
        <v>2592000</v>
      </c>
      <c r="J148" s="868">
        <f>SUM(J140:J147)</f>
        <v>3024000</v>
      </c>
      <c r="K148" s="868">
        <f ca="1">SUM(K140:K147)</f>
        <v>3476161.0300000003</v>
      </c>
      <c r="L148" s="870">
        <f t="shared" si="8"/>
        <v>3888000</v>
      </c>
      <c r="M148" s="866"/>
      <c r="N148" s="864"/>
    </row>
    <row r="149" spans="1:22" ht="18" customHeight="1" thickBot="1">
      <c r="A149" s="599"/>
      <c r="B149" s="600" t="s">
        <v>443</v>
      </c>
      <c r="C149" s="601"/>
      <c r="D149" s="601"/>
      <c r="E149" s="601"/>
      <c r="F149" s="601"/>
      <c r="G149" s="995"/>
      <c r="H149" s="996">
        <f>+H148</f>
        <v>4320000</v>
      </c>
      <c r="I149" s="996">
        <f t="shared" ref="I149:L149" si="9">+I148</f>
        <v>2592000</v>
      </c>
      <c r="J149" s="996">
        <f t="shared" si="9"/>
        <v>3024000</v>
      </c>
      <c r="K149" s="996">
        <f ca="1">+K148</f>
        <v>3476161.0300000003</v>
      </c>
      <c r="L149" s="997">
        <f t="shared" si="9"/>
        <v>3888000</v>
      </c>
      <c r="M149" s="866"/>
      <c r="N149" s="864"/>
      <c r="O149" s="90"/>
      <c r="P149" s="90"/>
      <c r="Q149" s="90"/>
      <c r="R149" s="90"/>
      <c r="S149" s="90"/>
      <c r="T149" s="90"/>
      <c r="U149" s="90"/>
      <c r="V149" s="90"/>
    </row>
    <row r="150" spans="1:22" s="90" customFormat="1" ht="9" customHeight="1" thickTop="1" thickBot="1">
      <c r="A150" s="660"/>
      <c r="B150" s="661"/>
      <c r="C150" s="662"/>
      <c r="D150" s="662"/>
      <c r="E150" s="662"/>
      <c r="F150" s="662"/>
      <c r="G150" s="663"/>
      <c r="H150" s="664"/>
      <c r="I150" s="664"/>
      <c r="J150" s="664"/>
      <c r="K150" s="664"/>
      <c r="L150" s="664"/>
      <c r="M150" s="866"/>
      <c r="N150" s="864"/>
    </row>
    <row r="151" spans="1:22" ht="18" customHeight="1" thickTop="1">
      <c r="A151" s="1289" t="s">
        <v>131</v>
      </c>
      <c r="B151" s="1290"/>
      <c r="C151" s="1290"/>
      <c r="D151" s="1290"/>
      <c r="E151" s="1290"/>
      <c r="F151" s="1290"/>
      <c r="G151" s="1290"/>
      <c r="H151" s="1290"/>
      <c r="I151" s="1290"/>
      <c r="J151" s="1290"/>
      <c r="K151" s="1290"/>
      <c r="L151" s="1291"/>
      <c r="M151" s="866"/>
      <c r="N151" s="864"/>
      <c r="O151" s="90"/>
      <c r="P151" s="90"/>
      <c r="Q151" s="90"/>
      <c r="R151" s="90"/>
      <c r="S151" s="90"/>
      <c r="T151" s="90"/>
      <c r="U151" s="90"/>
      <c r="V151" s="90"/>
    </row>
    <row r="152" spans="1:22" ht="15.95" customHeight="1">
      <c r="A152" s="1327" t="s">
        <v>20</v>
      </c>
      <c r="B152" s="1328"/>
      <c r="C152" s="1328"/>
      <c r="D152" s="1328"/>
      <c r="E152" s="1328"/>
      <c r="F152" s="1328"/>
      <c r="G152" s="1329"/>
      <c r="H152" s="597" t="s">
        <v>132</v>
      </c>
      <c r="I152" s="594" t="str">
        <f>I138</f>
        <v xml:space="preserve"> 2020-21</v>
      </c>
      <c r="J152" s="594" t="str">
        <f>J138</f>
        <v xml:space="preserve"> 2021-22</v>
      </c>
      <c r="K152" s="594" t="str">
        <f>K138</f>
        <v xml:space="preserve"> 2022-23</v>
      </c>
      <c r="L152" s="595" t="str">
        <f>L138</f>
        <v xml:space="preserve"> 2023-24</v>
      </c>
      <c r="M152" s="866"/>
      <c r="N152" s="864"/>
      <c r="O152" s="90"/>
      <c r="P152" s="90"/>
      <c r="Q152" s="90"/>
      <c r="R152" s="90"/>
      <c r="S152" s="90"/>
      <c r="T152" s="90"/>
      <c r="U152" s="90"/>
      <c r="V152" s="90"/>
    </row>
    <row r="153" spans="1:22" ht="15.95" customHeight="1">
      <c r="A153" s="1324" t="s">
        <v>102</v>
      </c>
      <c r="B153" s="1325"/>
      <c r="C153" s="1325"/>
      <c r="D153" s="1325"/>
      <c r="E153" s="1325"/>
      <c r="F153" s="1325"/>
      <c r="G153" s="1326"/>
      <c r="H153" s="648">
        <v>100</v>
      </c>
      <c r="I153" s="735">
        <f>+I139</f>
        <v>60</v>
      </c>
      <c r="J153" s="735">
        <f t="shared" ref="J153:L153" si="10">+J139</f>
        <v>70</v>
      </c>
      <c r="K153" s="735">
        <f t="shared" si="10"/>
        <v>80</v>
      </c>
      <c r="L153" s="736">
        <f t="shared" si="10"/>
        <v>90</v>
      </c>
      <c r="M153" s="866"/>
      <c r="N153" s="864"/>
      <c r="O153" s="90"/>
      <c r="P153" s="90"/>
      <c r="Q153" s="90"/>
      <c r="R153" s="90"/>
      <c r="S153" s="90"/>
      <c r="T153" s="90"/>
      <c r="U153" s="90"/>
      <c r="V153" s="90"/>
    </row>
    <row r="154" spans="1:22" ht="18" customHeight="1">
      <c r="A154" s="587"/>
      <c r="B154" s="302"/>
      <c r="C154" s="856" t="s">
        <v>59</v>
      </c>
      <c r="D154" s="857"/>
      <c r="E154" s="857"/>
      <c r="F154" s="858"/>
      <c r="G154" s="859"/>
      <c r="H154" s="430"/>
      <c r="I154" s="640"/>
      <c r="J154" s="640"/>
      <c r="K154" s="640"/>
      <c r="L154" s="641"/>
      <c r="M154" s="866"/>
      <c r="N154" s="864"/>
      <c r="O154" s="90"/>
      <c r="P154" s="90"/>
      <c r="Q154" s="90"/>
      <c r="R154" s="90"/>
      <c r="S154" s="90"/>
      <c r="T154" s="90"/>
      <c r="U154" s="90"/>
      <c r="V154" s="90"/>
    </row>
    <row r="155" spans="1:22" s="90" customFormat="1" ht="15.95" customHeight="1">
      <c r="A155" s="1330"/>
      <c r="B155" s="1331"/>
      <c r="C155" s="1331"/>
      <c r="D155" s="1331"/>
      <c r="E155" s="1332"/>
      <c r="F155" s="738" t="s">
        <v>619</v>
      </c>
      <c r="G155" s="737" t="s">
        <v>620</v>
      </c>
      <c r="H155" s="430"/>
      <c r="I155" s="640"/>
      <c r="J155" s="640"/>
      <c r="K155" s="640"/>
      <c r="L155" s="641"/>
      <c r="M155" s="866"/>
      <c r="N155" s="864"/>
    </row>
    <row r="156" spans="1:22" ht="18" customHeight="1">
      <c r="A156" s="802">
        <f>'Data Feeding'!B52</f>
        <v>1</v>
      </c>
      <c r="B156" s="803" t="str">
        <f>'Data Feeding'!C52</f>
        <v>DHANIA SEEDS</v>
      </c>
      <c r="C156" s="804"/>
      <c r="D156" s="804"/>
      <c r="E156" s="805"/>
      <c r="F156" s="642">
        <f>+'Data Feeding'!G52</f>
        <v>3600</v>
      </c>
      <c r="G156" s="991">
        <f>+'Data Feeding'!I52</f>
        <v>200</v>
      </c>
      <c r="H156" s="953">
        <f>+'Data Feeding'!I52*'Data Feeding'!G52</f>
        <v>720000</v>
      </c>
      <c r="I156" s="954">
        <f>+$H$156*'Data Feeding'!F38/100</f>
        <v>432000</v>
      </c>
      <c r="J156" s="954">
        <f>+$H$156*'Data Feeding'!G38/100</f>
        <v>504000</v>
      </c>
      <c r="K156" s="954">
        <f>+$H$156*'Data Feeding'!H38/100</f>
        <v>576000</v>
      </c>
      <c r="L156" s="992">
        <f>+$H$156*'Data Feeding'!I38/100</f>
        <v>648000</v>
      </c>
      <c r="M156" s="866"/>
      <c r="N156" s="864"/>
      <c r="O156" s="90"/>
      <c r="P156" s="90"/>
      <c r="Q156" s="90"/>
      <c r="R156" s="90"/>
      <c r="S156" s="90"/>
      <c r="T156" s="90"/>
      <c r="U156" s="90"/>
      <c r="V156" s="90"/>
    </row>
    <row r="157" spans="1:22" s="90" customFormat="1" ht="18" customHeight="1">
      <c r="A157" s="806"/>
      <c r="B157" s="807"/>
      <c r="C157" s="808" t="str">
        <f>CONCATENATE("( ",'Data Feeding'!G52," ",'Data Feeding'!H52," @ Rs. ",'Data Feeding'!I52," )")</f>
        <v>( 3600 Kgs @ Rs. 200 )</v>
      </c>
      <c r="D157" s="807"/>
      <c r="E157" s="809"/>
      <c r="F157" s="308" t="str">
        <f>+'Data Feeding'!J52</f>
        <v>Available in Medak</v>
      </c>
      <c r="G157" s="993"/>
      <c r="H157" s="993"/>
      <c r="I157" s="954"/>
      <c r="J157" s="954"/>
      <c r="K157" s="954"/>
      <c r="L157" s="992"/>
      <c r="M157" s="866"/>
      <c r="N157" s="864"/>
    </row>
    <row r="158" spans="1:22" ht="18" customHeight="1">
      <c r="A158" s="802">
        <f>'Data Feeding'!B53</f>
        <v>2</v>
      </c>
      <c r="B158" s="803" t="str">
        <f>'Data Feeding'!C53</f>
        <v>RED CHILLES</v>
      </c>
      <c r="C158" s="804"/>
      <c r="D158" s="804"/>
      <c r="E158" s="805"/>
      <c r="F158" s="642">
        <f>+'Data Feeding'!G53</f>
        <v>2400</v>
      </c>
      <c r="G158" s="991">
        <f>+'Data Feeding'!I53</f>
        <v>225</v>
      </c>
      <c r="H158" s="953">
        <f>+'Data Feeding'!I53*'Data Feeding'!G53</f>
        <v>540000</v>
      </c>
      <c r="I158" s="954">
        <f>+$H$158*'Data Feeding'!F38/100</f>
        <v>324000</v>
      </c>
      <c r="J158" s="954">
        <f>+$H$158*'Data Feeding'!G38/100</f>
        <v>378000</v>
      </c>
      <c r="K158" s="954">
        <f>+$H$158*'Data Feeding'!H38/100</f>
        <v>432000</v>
      </c>
      <c r="L158" s="992">
        <f>+$H$158*'Data Feeding'!I38/100</f>
        <v>486000</v>
      </c>
      <c r="M158" s="866"/>
      <c r="N158" s="864"/>
      <c r="O158" s="90"/>
      <c r="P158" s="90"/>
      <c r="Q158" s="90"/>
      <c r="R158" s="90"/>
      <c r="S158" s="90"/>
      <c r="T158" s="90"/>
      <c r="U158" s="90"/>
      <c r="V158" s="90"/>
    </row>
    <row r="159" spans="1:22" s="90" customFormat="1" ht="18" customHeight="1">
      <c r="A159" s="806"/>
      <c r="B159" s="807"/>
      <c r="C159" s="808" t="str">
        <f>CONCATENATE("( ",'Data Feeding'!G53," ",'Data Feeding'!H53," @ Rs. ",'Data Feeding'!I53," )")</f>
        <v>( 2400 Kgs @ Rs. 225 )</v>
      </c>
      <c r="D159" s="807"/>
      <c r="E159" s="809"/>
      <c r="F159" s="644" t="str">
        <f>+'Data Feeding'!J53</f>
        <v>Available in nearby villages</v>
      </c>
      <c r="G159" s="993"/>
      <c r="H159" s="993"/>
      <c r="I159" s="954"/>
      <c r="J159" s="954"/>
      <c r="K159" s="954"/>
      <c r="L159" s="992"/>
      <c r="M159" s="866"/>
      <c r="N159" s="864"/>
    </row>
    <row r="160" spans="1:22" ht="18" customHeight="1">
      <c r="A160" s="802">
        <f>'Data Feeding'!B54</f>
        <v>3</v>
      </c>
      <c r="B160" s="803" t="str">
        <f>'Data Feeding'!C54</f>
        <v>TRUMARIC KERNALS</v>
      </c>
      <c r="C160" s="804"/>
      <c r="D160" s="804"/>
      <c r="E160" s="805"/>
      <c r="F160" s="642">
        <f>+'Data Feeding'!G54</f>
        <v>1800</v>
      </c>
      <c r="G160" s="991">
        <f>+'Data Feeding'!I54</f>
        <v>250</v>
      </c>
      <c r="H160" s="953">
        <f>+'Data Feeding'!G54*'Data Feeding'!I54</f>
        <v>450000</v>
      </c>
      <c r="I160" s="954">
        <f>$H$160*'Data Feeding'!F38/100</f>
        <v>270000</v>
      </c>
      <c r="J160" s="954">
        <f>$H$160*'Data Feeding'!G38/100</f>
        <v>315000</v>
      </c>
      <c r="K160" s="954">
        <f>$H$160*'Data Feeding'!H38/100</f>
        <v>360000</v>
      </c>
      <c r="L160" s="992">
        <f>$H$160*'Data Feeding'!I38/100</f>
        <v>405000</v>
      </c>
      <c r="M160" s="866"/>
      <c r="N160" s="864"/>
      <c r="O160" s="90"/>
      <c r="P160" s="90"/>
      <c r="Q160" s="90"/>
      <c r="R160" s="90"/>
      <c r="S160" s="90"/>
      <c r="T160" s="90"/>
      <c r="U160" s="90"/>
      <c r="V160" s="90"/>
    </row>
    <row r="161" spans="1:22" s="90" customFormat="1" ht="18" customHeight="1">
      <c r="A161" s="806"/>
      <c r="B161" s="807"/>
      <c r="C161" s="808" t="str">
        <f>CONCATENATE("( ",'Data Feeding'!G54," ",'Data Feeding'!H54," @ Rs. ",'Data Feeding'!I54," )")</f>
        <v>( 1800 Kgs @ Rs. 250 )</v>
      </c>
      <c r="D161" s="807"/>
      <c r="E161" s="809"/>
      <c r="F161" s="644" t="str">
        <f>+'Data Feeding'!J54</f>
        <v>Available in Hyderabad</v>
      </c>
      <c r="G161" s="993"/>
      <c r="H161" s="993"/>
      <c r="I161" s="954"/>
      <c r="J161" s="954"/>
      <c r="K161" s="954"/>
      <c r="L161" s="992"/>
      <c r="M161" s="866"/>
      <c r="N161" s="864"/>
    </row>
    <row r="162" spans="1:22" ht="18" customHeight="1">
      <c r="A162" s="802">
        <f>'Data Feeding'!B55</f>
        <v>4</v>
      </c>
      <c r="B162" s="803" t="str">
        <f>'Data Feeding'!C55</f>
        <v>RRRR</v>
      </c>
      <c r="C162" s="804"/>
      <c r="D162" s="804"/>
      <c r="E162" s="805"/>
      <c r="F162" s="642">
        <f>+'Data Feeding'!G55</f>
        <v>3000</v>
      </c>
      <c r="G162" s="991">
        <f>+'Data Feeding'!I55</f>
        <v>300</v>
      </c>
      <c r="H162" s="953">
        <f>+'Data Feeding'!G55*'Data Feeding'!I55</f>
        <v>900000</v>
      </c>
      <c r="I162" s="954">
        <f>+H162*I153/H153</f>
        <v>540000</v>
      </c>
      <c r="J162" s="954">
        <f>+I162*J153/I153</f>
        <v>630000</v>
      </c>
      <c r="K162" s="954">
        <f>+J162*K153/J153</f>
        <v>720000</v>
      </c>
      <c r="L162" s="992">
        <f>+K162*L153/K153</f>
        <v>810000</v>
      </c>
      <c r="M162" s="866"/>
      <c r="N162" s="864"/>
      <c r="O162" s="90"/>
      <c r="P162" s="90"/>
      <c r="Q162" s="90"/>
      <c r="R162" s="90"/>
      <c r="S162" s="90"/>
      <c r="T162" s="90"/>
      <c r="U162" s="90"/>
      <c r="V162" s="90"/>
    </row>
    <row r="163" spans="1:22" s="90" customFormat="1" ht="18" customHeight="1">
      <c r="A163" s="810"/>
      <c r="B163" s="811"/>
      <c r="C163" s="808" t="str">
        <f>CONCATENATE("( ",'Data Feeding'!G55," ",'Data Feeding'!H55," @ Rs. ",'Data Feeding'!I55," )")</f>
        <v>( 3000 Kgs @ Rs. 300 )</v>
      </c>
      <c r="D163" s="808"/>
      <c r="E163" s="809"/>
      <c r="F163" s="644" t="str">
        <f>+'Data Feeding'!J55</f>
        <v>to be imported</v>
      </c>
      <c r="G163" s="643"/>
      <c r="H163" s="116"/>
      <c r="I163" s="429"/>
      <c r="J163" s="429"/>
      <c r="K163" s="429"/>
      <c r="L163" s="431"/>
      <c r="M163" s="866"/>
      <c r="N163" s="864"/>
    </row>
    <row r="164" spans="1:22" ht="18" customHeight="1" thickBot="1">
      <c r="A164" s="599"/>
      <c r="B164" s="600" t="s">
        <v>269</v>
      </c>
      <c r="C164" s="645"/>
      <c r="D164" s="646"/>
      <c r="E164" s="601"/>
      <c r="F164" s="601"/>
      <c r="G164" s="601"/>
      <c r="H164" s="345">
        <f>ROUND(SUM(H156:H163),-3)</f>
        <v>2610000</v>
      </c>
      <c r="I164" s="345">
        <f>ROUND(SUM(I156:I163),-3)</f>
        <v>1566000</v>
      </c>
      <c r="J164" s="345">
        <f>ROUND(SUM(J156:J163),-3)</f>
        <v>1827000</v>
      </c>
      <c r="K164" s="345">
        <f>ROUND(SUM(K156:K163),-3)</f>
        <v>2088000</v>
      </c>
      <c r="L164" s="347">
        <f>ROUND(SUM(L156:L163),-3)</f>
        <v>2349000</v>
      </c>
      <c r="M164" s="866"/>
      <c r="N164" s="864"/>
      <c r="O164" s="90"/>
      <c r="P164" s="90"/>
      <c r="Q164" s="90"/>
      <c r="R164" s="90"/>
      <c r="S164" s="90"/>
      <c r="T164" s="90"/>
      <c r="U164" s="90"/>
      <c r="V164" s="90"/>
    </row>
    <row r="165" spans="1:22" s="90" customFormat="1" ht="9" customHeight="1" thickTop="1" thickBot="1">
      <c r="A165" s="660"/>
      <c r="B165" s="661"/>
      <c r="C165" s="665"/>
      <c r="D165" s="666"/>
      <c r="E165" s="662"/>
      <c r="F165" s="662"/>
      <c r="G165" s="662"/>
      <c r="H165" s="667"/>
      <c r="I165" s="667"/>
      <c r="J165" s="667"/>
      <c r="K165" s="667"/>
      <c r="L165" s="667"/>
      <c r="M165" s="866"/>
      <c r="N165" s="864"/>
    </row>
    <row r="166" spans="1:22" ht="18" customHeight="1" thickTop="1">
      <c r="A166" s="812"/>
      <c r="B166" s="813"/>
      <c r="C166" s="854" t="s">
        <v>569</v>
      </c>
      <c r="D166" s="854"/>
      <c r="E166" s="855"/>
      <c r="F166" s="855"/>
      <c r="G166" s="855"/>
      <c r="H166" s="814"/>
      <c r="I166" s="815"/>
      <c r="J166" s="816"/>
      <c r="K166" s="817"/>
      <c r="L166" s="818"/>
      <c r="M166" s="866"/>
      <c r="N166" s="864"/>
      <c r="O166" s="90"/>
      <c r="P166" s="90"/>
      <c r="Q166" s="90"/>
      <c r="R166" s="90"/>
      <c r="S166" s="90"/>
      <c r="T166" s="90"/>
      <c r="U166" s="90"/>
      <c r="V166" s="90"/>
    </row>
    <row r="167" spans="1:22" ht="18" customHeight="1">
      <c r="A167" s="1292"/>
      <c r="B167" s="821"/>
      <c r="C167" s="821" t="s">
        <v>228</v>
      </c>
      <c r="D167" s="821"/>
      <c r="E167" s="821"/>
      <c r="F167" s="822"/>
      <c r="G167" s="822"/>
      <c r="H167" s="823"/>
      <c r="I167" s="824"/>
      <c r="J167" s="825"/>
      <c r="K167" s="826"/>
      <c r="L167" s="827"/>
      <c r="M167" s="866"/>
      <c r="N167" s="864"/>
      <c r="O167" s="90"/>
      <c r="P167" s="90"/>
      <c r="Q167" s="90"/>
      <c r="R167" s="90"/>
      <c r="S167" s="90"/>
      <c r="T167" s="90"/>
      <c r="U167" s="90"/>
      <c r="V167" s="90"/>
    </row>
    <row r="168" spans="1:22" ht="18" customHeight="1">
      <c r="A168" s="1293"/>
      <c r="B168" s="828" t="str">
        <f>'Data Feeding'!B74</f>
        <v>ADMINISTRATIVE</v>
      </c>
      <c r="C168" s="828"/>
      <c r="D168" s="829"/>
      <c r="E168" s="830"/>
      <c r="F168" s="980"/>
      <c r="G168" s="980"/>
      <c r="H168" s="905"/>
      <c r="I168" s="904"/>
      <c r="J168" s="904"/>
      <c r="K168" s="904"/>
      <c r="L168" s="906"/>
      <c r="M168" s="866"/>
      <c r="N168" s="864"/>
      <c r="O168" s="90"/>
      <c r="P168" s="90"/>
      <c r="Q168" s="90"/>
      <c r="R168" s="90"/>
      <c r="S168" s="90"/>
      <c r="T168" s="90"/>
      <c r="U168" s="90"/>
      <c r="V168" s="90"/>
    </row>
    <row r="169" spans="1:22" ht="18" customHeight="1">
      <c r="A169" s="1293"/>
      <c r="B169" s="831" t="str">
        <f>'Data Feeding'!G74</f>
        <v>Marketing</v>
      </c>
      <c r="C169" s="832"/>
      <c r="D169" s="829"/>
      <c r="E169" s="830">
        <f>'Data Feeding'!H74</f>
        <v>1</v>
      </c>
      <c r="F169" s="980">
        <f>'Data Feeding'!I74</f>
        <v>15000</v>
      </c>
      <c r="G169" s="980">
        <f>E169*F169*12</f>
        <v>180000</v>
      </c>
      <c r="H169" s="905"/>
      <c r="I169" s="904"/>
      <c r="J169" s="904"/>
      <c r="K169" s="904"/>
      <c r="L169" s="906"/>
      <c r="M169" s="866"/>
      <c r="N169" s="864"/>
      <c r="O169" s="90"/>
      <c r="P169" s="90"/>
      <c r="Q169" s="90"/>
      <c r="R169" s="90"/>
      <c r="S169" s="90"/>
      <c r="T169" s="90"/>
      <c r="U169" s="90"/>
      <c r="V169" s="90"/>
    </row>
    <row r="170" spans="1:22" ht="18" customHeight="1">
      <c r="A170" s="1293"/>
      <c r="B170" s="828"/>
      <c r="C170" s="745" t="s">
        <v>256</v>
      </c>
      <c r="D170" s="829"/>
      <c r="E170" s="830">
        <f>SUM(E169:E169)</f>
        <v>1</v>
      </c>
      <c r="F170" s="980"/>
      <c r="G170" s="980"/>
      <c r="H170" s="905">
        <f>SUM(G169:G170)</f>
        <v>180000</v>
      </c>
      <c r="I170" s="904">
        <f>+H170</f>
        <v>180000</v>
      </c>
      <c r="J170" s="904"/>
      <c r="K170" s="904"/>
      <c r="L170" s="906"/>
      <c r="M170" s="866"/>
      <c r="N170" s="864"/>
      <c r="O170" s="90"/>
      <c r="P170" s="90"/>
      <c r="Q170" s="90"/>
      <c r="R170" s="90"/>
      <c r="S170" s="90"/>
      <c r="T170" s="90"/>
      <c r="U170" s="90"/>
      <c r="V170" s="90"/>
    </row>
    <row r="171" spans="1:22" ht="18" customHeight="1">
      <c r="A171" s="1444" t="s">
        <v>60</v>
      </c>
      <c r="B171" s="1445"/>
      <c r="C171" s="1445"/>
      <c r="D171" s="1446"/>
      <c r="E171" s="1447">
        <f>+E170</f>
        <v>1</v>
      </c>
      <c r="F171" s="1448"/>
      <c r="G171" s="1448">
        <f>SUM(G168:G169)</f>
        <v>180000</v>
      </c>
      <c r="H171" s="1449">
        <f>G171</f>
        <v>180000</v>
      </c>
      <c r="I171" s="1450">
        <f>G171</f>
        <v>180000</v>
      </c>
      <c r="J171" s="1450">
        <f>I171*'Data Feeding'!H122</f>
        <v>189000</v>
      </c>
      <c r="K171" s="1450">
        <f>J171*'Data Feeding'!H122</f>
        <v>198450</v>
      </c>
      <c r="L171" s="1451">
        <f>K171*'Data Feeding'!$H$122</f>
        <v>208372.5</v>
      </c>
      <c r="M171" s="866"/>
      <c r="N171" s="864"/>
      <c r="O171" s="90"/>
      <c r="P171" s="90"/>
      <c r="Q171" s="90"/>
      <c r="R171" s="90"/>
      <c r="S171" s="90"/>
      <c r="T171" s="90"/>
      <c r="U171" s="90"/>
      <c r="V171" s="90"/>
    </row>
    <row r="172" spans="1:22" ht="18" customHeight="1">
      <c r="A172" s="834"/>
      <c r="B172" s="821"/>
      <c r="C172" s="821" t="s">
        <v>227</v>
      </c>
      <c r="D172" s="835"/>
      <c r="E172" s="836"/>
      <c r="F172" s="981"/>
      <c r="G172" s="981"/>
      <c r="H172" s="982"/>
      <c r="I172" s="983"/>
      <c r="J172" s="983"/>
      <c r="K172" s="983"/>
      <c r="L172" s="984"/>
      <c r="M172" s="866"/>
      <c r="N172" s="864"/>
      <c r="O172" s="90"/>
      <c r="P172" s="90"/>
      <c r="Q172" s="90"/>
      <c r="R172" s="90"/>
      <c r="S172" s="90"/>
      <c r="T172" s="90"/>
      <c r="U172" s="90"/>
      <c r="V172" s="90"/>
    </row>
    <row r="173" spans="1:22" ht="18" customHeight="1">
      <c r="A173" s="837"/>
      <c r="B173" s="828" t="str">
        <f>'Data Feeding'!B75</f>
        <v>SUPERVISORY</v>
      </c>
      <c r="C173" s="828"/>
      <c r="D173" s="829"/>
      <c r="E173" s="830"/>
      <c r="F173" s="980" t="s">
        <v>138</v>
      </c>
      <c r="G173" s="980"/>
      <c r="H173" s="905"/>
      <c r="I173" s="904"/>
      <c r="J173" s="904"/>
      <c r="K173" s="904"/>
      <c r="L173" s="906"/>
      <c r="M173" s="866"/>
      <c r="N173" s="864"/>
      <c r="O173" s="90"/>
      <c r="P173" s="90"/>
      <c r="Q173" s="90"/>
      <c r="R173" s="90"/>
      <c r="S173" s="90"/>
      <c r="T173" s="90"/>
      <c r="U173" s="90"/>
      <c r="V173" s="90"/>
    </row>
    <row r="174" spans="1:22" ht="18" customHeight="1">
      <c r="A174" s="837"/>
      <c r="B174" s="831" t="str">
        <f>'Data Feeding'!G75</f>
        <v>Supervisor</v>
      </c>
      <c r="C174" s="832"/>
      <c r="D174" s="829"/>
      <c r="E174" s="830">
        <f>'Data Feeding'!H75</f>
        <v>1</v>
      </c>
      <c r="F174" s="980">
        <f>'Data Feeding'!I75</f>
        <v>12000</v>
      </c>
      <c r="G174" s="980">
        <f>E174*F174*12</f>
        <v>144000</v>
      </c>
      <c r="H174" s="905"/>
      <c r="I174" s="904"/>
      <c r="J174" s="904"/>
      <c r="K174" s="904"/>
      <c r="L174" s="906"/>
      <c r="M174" s="866"/>
      <c r="N174" s="864"/>
      <c r="O174" s="90"/>
      <c r="P174" s="90"/>
      <c r="Q174" s="90"/>
      <c r="R174" s="90"/>
      <c r="S174" s="90"/>
      <c r="T174" s="90"/>
      <c r="U174" s="90"/>
      <c r="V174" s="90"/>
    </row>
    <row r="175" spans="1:22" ht="18" customHeight="1">
      <c r="A175" s="838"/>
      <c r="B175" s="828"/>
      <c r="C175" s="828" t="s">
        <v>89</v>
      </c>
      <c r="D175" s="829"/>
      <c r="E175" s="830">
        <f>SUM(E174:E174)</f>
        <v>1</v>
      </c>
      <c r="F175" s="980"/>
      <c r="G175" s="980"/>
      <c r="H175" s="905">
        <f>SUM(G174:G174)</f>
        <v>144000</v>
      </c>
      <c r="I175" s="904"/>
      <c r="J175" s="904"/>
      <c r="K175" s="904"/>
      <c r="L175" s="906"/>
      <c r="M175" s="866"/>
      <c r="N175" s="864"/>
      <c r="O175" s="90"/>
      <c r="P175" s="90"/>
      <c r="Q175" s="90"/>
      <c r="R175" s="90"/>
      <c r="S175" s="90"/>
      <c r="T175" s="90"/>
      <c r="U175" s="90"/>
      <c r="V175" s="90"/>
    </row>
    <row r="176" spans="1:22" ht="18" customHeight="1">
      <c r="A176" s="838"/>
      <c r="B176" s="828" t="str">
        <f>'Data Feeding'!B76</f>
        <v>SKILLED WORKERS</v>
      </c>
      <c r="C176" s="828"/>
      <c r="D176" s="829"/>
      <c r="E176" s="830"/>
      <c r="F176" s="980" t="s">
        <v>139</v>
      </c>
      <c r="G176" s="980"/>
      <c r="H176" s="905"/>
      <c r="I176" s="904"/>
      <c r="J176" s="904"/>
      <c r="K176" s="904"/>
      <c r="L176" s="906"/>
      <c r="M176" s="866"/>
      <c r="N176" s="864"/>
      <c r="O176" s="90"/>
      <c r="P176" s="90"/>
      <c r="Q176" s="90"/>
      <c r="R176" s="90"/>
      <c r="S176" s="90"/>
      <c r="T176" s="90"/>
      <c r="U176" s="90"/>
      <c r="V176" s="90"/>
    </row>
    <row r="177" spans="1:22" ht="18" customHeight="1">
      <c r="A177" s="838"/>
      <c r="B177" s="831" t="str">
        <f>+'Data Feeding'!G76</f>
        <v>Skilled Workers</v>
      </c>
      <c r="C177" s="832"/>
      <c r="D177" s="829"/>
      <c r="E177" s="830">
        <f>+'Data Feeding'!H76</f>
        <v>1</v>
      </c>
      <c r="F177" s="980">
        <f>+'Data Feeding'!I76</f>
        <v>500</v>
      </c>
      <c r="G177" s="980">
        <f>E177*F177*'Data Feeding'!$F$34</f>
        <v>150000</v>
      </c>
      <c r="H177" s="905"/>
      <c r="I177" s="904"/>
      <c r="J177" s="904"/>
      <c r="K177" s="904"/>
      <c r="L177" s="906"/>
      <c r="M177" s="866"/>
      <c r="N177" s="864"/>
      <c r="O177" s="90"/>
      <c r="P177" s="90"/>
      <c r="Q177" s="90"/>
      <c r="R177" s="90"/>
      <c r="S177" s="90"/>
      <c r="T177" s="90"/>
      <c r="U177" s="90"/>
      <c r="V177" s="90"/>
    </row>
    <row r="178" spans="1:22" ht="18" customHeight="1">
      <c r="A178" s="839"/>
      <c r="B178" s="828"/>
      <c r="C178" s="828" t="s">
        <v>89</v>
      </c>
      <c r="D178" s="829"/>
      <c r="E178" s="830">
        <f>SUM(E177:E177)</f>
        <v>1</v>
      </c>
      <c r="F178" s="980"/>
      <c r="G178" s="980"/>
      <c r="H178" s="905">
        <f>SUM(G177:G177)</f>
        <v>150000</v>
      </c>
      <c r="I178" s="904"/>
      <c r="J178" s="904"/>
      <c r="K178" s="904"/>
      <c r="L178" s="906"/>
      <c r="M178" s="866"/>
      <c r="N178" s="864"/>
      <c r="O178" s="90"/>
      <c r="P178" s="90"/>
      <c r="Q178" s="90"/>
      <c r="R178" s="90"/>
      <c r="S178" s="90"/>
      <c r="T178" s="90"/>
      <c r="U178" s="90"/>
      <c r="V178" s="90"/>
    </row>
    <row r="179" spans="1:22" ht="18" customHeight="1">
      <c r="A179" s="839"/>
      <c r="B179" s="828" t="str">
        <f>'Data Feeding'!B77</f>
        <v>UNSKILLED WORKERS</v>
      </c>
      <c r="C179" s="828"/>
      <c r="D179" s="829"/>
      <c r="E179" s="830"/>
      <c r="F179" s="980"/>
      <c r="G179" s="980"/>
      <c r="H179" s="905"/>
      <c r="I179" s="904"/>
      <c r="J179" s="904"/>
      <c r="K179" s="904"/>
      <c r="L179" s="906"/>
      <c r="M179" s="866"/>
      <c r="N179" s="864"/>
      <c r="O179" s="90"/>
      <c r="P179" s="90"/>
      <c r="Q179" s="90"/>
      <c r="R179" s="90"/>
      <c r="S179" s="90"/>
      <c r="T179" s="90"/>
      <c r="U179" s="90"/>
      <c r="V179" s="90"/>
    </row>
    <row r="180" spans="1:22" ht="18" customHeight="1">
      <c r="A180" s="839"/>
      <c r="B180" s="831" t="s">
        <v>39</v>
      </c>
      <c r="C180" s="832"/>
      <c r="D180" s="829"/>
      <c r="E180" s="830">
        <f>'Data Feeding'!H77</f>
        <v>1</v>
      </c>
      <c r="F180" s="980">
        <f>'Data Feeding'!I77</f>
        <v>300</v>
      </c>
      <c r="G180" s="980">
        <f>E180*F180*'Data Feeding'!$F$34</f>
        <v>90000</v>
      </c>
      <c r="H180" s="985"/>
      <c r="I180" s="904"/>
      <c r="J180" s="904"/>
      <c r="K180" s="904"/>
      <c r="L180" s="906"/>
      <c r="M180" s="866"/>
      <c r="N180" s="864"/>
      <c r="O180" s="90"/>
      <c r="P180" s="90"/>
      <c r="Q180" s="90"/>
      <c r="R180" s="90"/>
      <c r="S180" s="90"/>
      <c r="T180" s="90"/>
      <c r="U180" s="90"/>
      <c r="V180" s="90"/>
    </row>
    <row r="181" spans="1:22" ht="18" customHeight="1">
      <c r="A181" s="1444"/>
      <c r="B181" s="1452">
        <v>0</v>
      </c>
      <c r="C181" s="1445"/>
      <c r="D181" s="1446"/>
      <c r="E181" s="1447"/>
      <c r="F181" s="1448"/>
      <c r="G181" s="1448">
        <f>E181*F181*'Data Feeding'!$F$34</f>
        <v>0</v>
      </c>
      <c r="H181" s="1449">
        <f>G180+G181</f>
        <v>90000</v>
      </c>
      <c r="I181" s="1450"/>
      <c r="J181" s="1450"/>
      <c r="K181" s="1450"/>
      <c r="L181" s="1451"/>
      <c r="M181" s="866"/>
      <c r="N181" s="864"/>
      <c r="O181" s="90"/>
      <c r="P181" s="90"/>
      <c r="Q181" s="90"/>
      <c r="R181" s="90"/>
      <c r="S181" s="90"/>
      <c r="T181" s="90"/>
      <c r="U181" s="90"/>
      <c r="V181" s="90"/>
    </row>
    <row r="182" spans="1:22" ht="18" customHeight="1">
      <c r="A182" s="833" t="s">
        <v>229</v>
      </c>
      <c r="B182" s="445"/>
      <c r="C182" s="445"/>
      <c r="D182" s="819"/>
      <c r="E182" s="820">
        <f>+E180+E178+E175+E181</f>
        <v>3</v>
      </c>
      <c r="F182" s="986"/>
      <c r="G182" s="986">
        <f>SUM(H174:I181)</f>
        <v>384000</v>
      </c>
      <c r="H182" s="987">
        <f>G182</f>
        <v>384000</v>
      </c>
      <c r="I182" s="988">
        <f>+H182</f>
        <v>384000</v>
      </c>
      <c r="J182" s="988">
        <f>+I182*J153/I153</f>
        <v>448000</v>
      </c>
      <c r="K182" s="988">
        <f>+J182*K153/J153</f>
        <v>512000</v>
      </c>
      <c r="L182" s="989">
        <f>+K182*L153/K153</f>
        <v>576000</v>
      </c>
      <c r="M182" s="866"/>
      <c r="N182" s="864"/>
      <c r="O182" s="90"/>
      <c r="P182" s="90"/>
      <c r="Q182" s="90"/>
      <c r="R182" s="90"/>
      <c r="S182" s="90"/>
      <c r="T182" s="90"/>
      <c r="U182" s="90"/>
      <c r="V182" s="90"/>
    </row>
    <row r="183" spans="1:22" ht="18" customHeight="1" thickBot="1">
      <c r="A183" s="599"/>
      <c r="B183" s="404" t="s">
        <v>149</v>
      </c>
      <c r="C183" s="602"/>
      <c r="D183" s="605"/>
      <c r="E183" s="434">
        <f>E182+E171</f>
        <v>4</v>
      </c>
      <c r="F183" s="990" t="s">
        <v>140</v>
      </c>
      <c r="G183" s="990">
        <f>G182+G171</f>
        <v>564000</v>
      </c>
      <c r="H183" s="885"/>
      <c r="I183" s="884">
        <f>I182+I171</f>
        <v>564000</v>
      </c>
      <c r="J183" s="884">
        <f>(+J182+J171)</f>
        <v>637000</v>
      </c>
      <c r="K183" s="884">
        <f>(+K182+K171)</f>
        <v>710450</v>
      </c>
      <c r="L183" s="886">
        <f>(+L182+L171)</f>
        <v>784372.5</v>
      </c>
      <c r="M183" s="866"/>
      <c r="N183" s="864"/>
      <c r="O183" s="90"/>
      <c r="P183" s="90"/>
      <c r="Q183" s="90"/>
      <c r="R183" s="90"/>
      <c r="S183" s="90"/>
      <c r="T183" s="90"/>
      <c r="U183" s="90"/>
      <c r="V183" s="90"/>
    </row>
    <row r="184" spans="1:22" ht="9" customHeight="1" thickTop="1">
      <c r="A184" s="764"/>
      <c r="B184" s="765"/>
      <c r="C184" s="765"/>
      <c r="D184" s="765"/>
      <c r="E184" s="765"/>
      <c r="F184" s="765"/>
      <c r="G184" s="765"/>
      <c r="H184" s="766"/>
      <c r="I184" s="765"/>
      <c r="J184" s="765"/>
      <c r="K184" s="765"/>
      <c r="L184" s="765"/>
      <c r="M184" s="866"/>
      <c r="N184" s="864"/>
      <c r="O184" s="90"/>
      <c r="P184" s="90"/>
      <c r="Q184" s="90"/>
      <c r="R184" s="90"/>
      <c r="S184" s="90"/>
      <c r="T184" s="90"/>
      <c r="U184" s="90"/>
      <c r="V184" s="90"/>
    </row>
    <row r="185" spans="1:22" s="90" customFormat="1" ht="18" customHeight="1">
      <c r="A185" s="520"/>
      <c r="B185" s="94"/>
      <c r="C185" s="94"/>
      <c r="D185" s="94"/>
      <c r="E185" s="94"/>
      <c r="F185" s="94"/>
      <c r="G185" s="94"/>
      <c r="H185" s="105"/>
      <c r="I185" s="94"/>
      <c r="J185" s="94"/>
      <c r="K185" s="94"/>
      <c r="L185" s="521" t="str">
        <f>CONCATENATE("--  P. ",D35," --")</f>
        <v>--  P. 5 --</v>
      </c>
      <c r="M185" s="866"/>
      <c r="N185" s="864"/>
    </row>
    <row r="186" spans="1:22" ht="18" customHeight="1">
      <c r="A186" s="128"/>
      <c r="B186" s="61" t="str">
        <f>+'Data Feeding'!E172</f>
        <v>M/s. SAI VENKATESWARA MASALA POWDERS, Mr. UTTAM  KRISHNAIH</v>
      </c>
      <c r="C186" s="35"/>
      <c r="D186" s="35"/>
      <c r="E186" s="35"/>
      <c r="F186" s="35"/>
      <c r="G186" s="35"/>
      <c r="H186" s="102"/>
      <c r="I186" s="137" t="str">
        <f>+I137</f>
        <v>1st</v>
      </c>
      <c r="J186" s="137" t="str">
        <f t="shared" ref="J186:L186" si="11">+J137</f>
        <v>2nd</v>
      </c>
      <c r="K186" s="137" t="str">
        <f t="shared" si="11"/>
        <v>3rd</v>
      </c>
      <c r="L186" s="137" t="str">
        <f t="shared" si="11"/>
        <v>4th</v>
      </c>
      <c r="M186" s="866"/>
      <c r="N186" s="864"/>
      <c r="O186" s="90"/>
      <c r="P186" s="90"/>
      <c r="Q186" s="90"/>
      <c r="R186" s="90"/>
      <c r="S186" s="90"/>
      <c r="T186" s="90"/>
      <c r="U186" s="90"/>
      <c r="V186" s="90"/>
    </row>
    <row r="187" spans="1:22" ht="18" customHeight="1">
      <c r="A187" s="606" t="s">
        <v>20</v>
      </c>
      <c r="B187" s="607"/>
      <c r="C187" s="607"/>
      <c r="D187" s="607"/>
      <c r="E187" s="607"/>
      <c r="F187" s="607"/>
      <c r="G187" s="607"/>
      <c r="H187" s="608" t="s">
        <v>132</v>
      </c>
      <c r="I187" s="609" t="str">
        <f t="shared" ref="I187:L188" si="12">+I152</f>
        <v xml:space="preserve"> 2020-21</v>
      </c>
      <c r="J187" s="609" t="str">
        <f t="shared" si="12"/>
        <v xml:space="preserve"> 2021-22</v>
      </c>
      <c r="K187" s="609" t="str">
        <f t="shared" si="12"/>
        <v xml:space="preserve"> 2022-23</v>
      </c>
      <c r="L187" s="610" t="str">
        <f t="shared" si="12"/>
        <v xml:space="preserve"> 2023-24</v>
      </c>
      <c r="M187" s="866"/>
      <c r="N187" s="864"/>
      <c r="O187" s="90"/>
      <c r="P187" s="90"/>
      <c r="Q187" s="90"/>
      <c r="R187" s="90"/>
      <c r="S187" s="90"/>
      <c r="T187" s="90"/>
      <c r="U187" s="90"/>
      <c r="V187" s="90"/>
    </row>
    <row r="188" spans="1:22" ht="18" customHeight="1">
      <c r="A188" s="612"/>
      <c r="B188" s="647"/>
      <c r="C188" s="647"/>
      <c r="D188" s="647"/>
      <c r="E188" s="647"/>
      <c r="F188" s="647"/>
      <c r="G188" s="647"/>
      <c r="H188" s="967">
        <v>100</v>
      </c>
      <c r="I188" s="968">
        <f t="shared" si="12"/>
        <v>60</v>
      </c>
      <c r="J188" s="968">
        <f t="shared" si="12"/>
        <v>70</v>
      </c>
      <c r="K188" s="968">
        <f t="shared" si="12"/>
        <v>80</v>
      </c>
      <c r="L188" s="969">
        <f t="shared" si="12"/>
        <v>90</v>
      </c>
      <c r="M188" s="866"/>
      <c r="N188" s="864"/>
      <c r="O188" s="90"/>
      <c r="P188" s="90"/>
      <c r="Q188" s="90"/>
      <c r="R188" s="90"/>
      <c r="S188" s="90"/>
      <c r="T188" s="90"/>
      <c r="U188" s="90"/>
      <c r="V188" s="90"/>
    </row>
    <row r="189" spans="1:22" s="90" customFormat="1" ht="18" customHeight="1">
      <c r="A189" s="606"/>
      <c r="B189" s="618"/>
      <c r="C189" s="849" t="s">
        <v>570</v>
      </c>
      <c r="D189" s="849"/>
      <c r="E189" s="850"/>
      <c r="F189" s="850"/>
      <c r="G189" s="850"/>
      <c r="H189" s="970"/>
      <c r="I189" s="971"/>
      <c r="J189" s="971"/>
      <c r="K189" s="971"/>
      <c r="L189" s="972"/>
      <c r="M189" s="866"/>
      <c r="N189" s="864"/>
    </row>
    <row r="190" spans="1:22" s="90" customFormat="1" ht="18" customHeight="1">
      <c r="A190" s="612"/>
      <c r="B190" s="613"/>
      <c r="C190" s="614"/>
      <c r="D190" s="615" t="str">
        <f>CONCATENATE("Av Per day Rs.",'Data Feeding'!H59," and for  ",'Data Feeding'!F34,"  days")</f>
        <v>Av Per day Rs.100 and for  300  days</v>
      </c>
      <c r="E190" s="614"/>
      <c r="F190" s="614"/>
      <c r="G190" s="614"/>
      <c r="H190" s="956">
        <f>+'Data Feeding'!F34*'Data Feeding'!H59</f>
        <v>30000</v>
      </c>
      <c r="I190" s="957">
        <f>+H190*I153/Report!H153</f>
        <v>18000</v>
      </c>
      <c r="J190" s="957">
        <f>+I190*J153/I153</f>
        <v>21000</v>
      </c>
      <c r="K190" s="957">
        <f>+J190*K153/J153</f>
        <v>24000</v>
      </c>
      <c r="L190" s="958">
        <f>+K190*L153/K153</f>
        <v>27000</v>
      </c>
      <c r="M190" s="866"/>
      <c r="N190" s="864"/>
    </row>
    <row r="191" spans="1:22" s="90" customFormat="1" ht="12" customHeight="1">
      <c r="A191" s="124"/>
      <c r="B191" s="538"/>
      <c r="C191" s="538"/>
      <c r="D191" s="538"/>
      <c r="E191" s="538"/>
      <c r="F191" s="538"/>
      <c r="G191" s="538"/>
      <c r="H191" s="973"/>
      <c r="I191" s="974"/>
      <c r="J191" s="974"/>
      <c r="K191" s="974"/>
      <c r="L191" s="974"/>
      <c r="M191" s="866"/>
      <c r="N191" s="864"/>
    </row>
    <row r="192" spans="1:22" ht="18" customHeight="1">
      <c r="A192" s="617"/>
      <c r="B192" s="618"/>
      <c r="C192" s="846" t="s">
        <v>103</v>
      </c>
      <c r="D192" s="846"/>
      <c r="E192" s="847"/>
      <c r="F192" s="847"/>
      <c r="G192" s="847"/>
      <c r="H192" s="970"/>
      <c r="I192" s="971"/>
      <c r="J192" s="971"/>
      <c r="K192" s="975"/>
      <c r="L192" s="976"/>
      <c r="M192" s="866"/>
      <c r="N192" s="864"/>
      <c r="O192" s="90"/>
      <c r="P192" s="90"/>
      <c r="Q192" s="90"/>
      <c r="R192" s="90"/>
      <c r="S192" s="90"/>
      <c r="T192" s="90"/>
      <c r="U192" s="90"/>
      <c r="V192" s="90"/>
    </row>
    <row r="193" spans="1:22" ht="18" customHeight="1">
      <c r="A193" s="619"/>
      <c r="B193" s="302"/>
      <c r="C193" s="303" t="str">
        <f>CONCATENATE("POWER: ",'Data Feeding'!N63," Units per Hr.(Av.1 H.P = 0.75 Units/Hr)")</f>
        <v>POWER: 8 Units per Hr.(Av.1 H.P = 0.75 Units/Hr)</v>
      </c>
      <c r="D193" s="603"/>
      <c r="E193" s="302"/>
      <c r="F193" s="302"/>
      <c r="G193" s="302"/>
      <c r="H193" s="953">
        <f>'Data Feeding'!$H$61*'Data Feeding'!$N$63*'Data Feeding'!$J$34*'Data Feeding'!$F$34*'Data Feeding'!$J$35</f>
        <v>134400</v>
      </c>
      <c r="I193" s="954">
        <f>$H$193*I153/100</f>
        <v>80640</v>
      </c>
      <c r="J193" s="954">
        <f>$H$193*J153/100</f>
        <v>94080</v>
      </c>
      <c r="K193" s="954">
        <f>$H$193*K153/100</f>
        <v>107520</v>
      </c>
      <c r="L193" s="955">
        <f>$H$193*L153/100</f>
        <v>120960</v>
      </c>
      <c r="M193" s="866"/>
      <c r="N193" s="864"/>
      <c r="O193" s="90"/>
      <c r="P193" s="90"/>
      <c r="Q193" s="90"/>
      <c r="R193" s="90"/>
      <c r="S193" s="90"/>
      <c r="T193" s="90"/>
      <c r="U193" s="90"/>
      <c r="V193" s="90"/>
    </row>
    <row r="194" spans="1:22" ht="18" customHeight="1">
      <c r="A194" s="621"/>
      <c r="B194" s="613"/>
      <c r="C194" s="613"/>
      <c r="D194" s="304" t="str">
        <f>CONCATENATE("(Total H.P Required: ",'Data Feeding'!$H$60," H.P)")</f>
        <v>(Total H.P Required: 10 H.P)</v>
      </c>
      <c r="E194" s="613"/>
      <c r="F194" s="613"/>
      <c r="G194" s="613" t="s">
        <v>137</v>
      </c>
      <c r="H194" s="956">
        <f>'Data Feeding'!$H$61*'Data Feeding'!$N$63*'Data Feeding'!$J$34*'Data Feeding'!$F$34*'Data Feeding'!$J$35</f>
        <v>134400</v>
      </c>
      <c r="I194" s="956">
        <f>+$H$194*I188/$H$188</f>
        <v>80640</v>
      </c>
      <c r="J194" s="956">
        <f t="shared" ref="J194:L194" si="13">+$H$194*J188/$H$188</f>
        <v>94080</v>
      </c>
      <c r="K194" s="956">
        <f t="shared" si="13"/>
        <v>107520</v>
      </c>
      <c r="L194" s="965">
        <f t="shared" si="13"/>
        <v>120960</v>
      </c>
      <c r="M194" s="866"/>
      <c r="N194" s="864"/>
      <c r="O194" s="90"/>
      <c r="P194" s="90"/>
      <c r="Q194" s="90"/>
      <c r="R194" s="90"/>
      <c r="S194" s="90"/>
      <c r="T194" s="90"/>
      <c r="U194" s="90"/>
      <c r="V194" s="90"/>
    </row>
    <row r="195" spans="1:22" ht="12" customHeight="1">
      <c r="A195" s="438"/>
      <c r="B195" s="4"/>
      <c r="C195" s="4"/>
      <c r="D195" s="4"/>
      <c r="E195" s="4"/>
      <c r="F195" s="4"/>
      <c r="G195" s="4"/>
      <c r="H195" s="973"/>
      <c r="I195" s="974"/>
      <c r="J195" s="974"/>
      <c r="K195" s="974"/>
      <c r="L195" s="974"/>
      <c r="M195" s="866"/>
      <c r="N195" s="864"/>
      <c r="O195" s="90"/>
      <c r="P195" s="90"/>
      <c r="Q195" s="90"/>
      <c r="R195" s="90"/>
      <c r="S195" s="90"/>
      <c r="T195" s="90"/>
      <c r="U195" s="90"/>
      <c r="V195" s="90"/>
    </row>
    <row r="196" spans="1:22" ht="18" customHeight="1">
      <c r="A196" s="606"/>
      <c r="B196" s="618"/>
      <c r="C196" s="849" t="s">
        <v>260</v>
      </c>
      <c r="D196" s="849"/>
      <c r="E196" s="850"/>
      <c r="F196" s="850"/>
      <c r="G196" s="850"/>
      <c r="H196" s="970"/>
      <c r="I196" s="971"/>
      <c r="J196" s="971"/>
      <c r="K196" s="975"/>
      <c r="L196" s="976"/>
      <c r="M196" s="866"/>
      <c r="N196" s="864"/>
      <c r="O196" s="90"/>
      <c r="P196" s="90"/>
      <c r="Q196" s="90"/>
      <c r="R196" s="90"/>
      <c r="S196" s="90"/>
      <c r="T196" s="90"/>
      <c r="U196" s="90"/>
      <c r="V196" s="90"/>
    </row>
    <row r="197" spans="1:22" ht="18" customHeight="1">
      <c r="A197" s="611"/>
      <c r="B197" s="302"/>
      <c r="C197" s="598"/>
      <c r="D197" s="598" t="str">
        <f>CONCATENATE("a. Stores &amp; Spares:  @ ",'Data Feeding'!H62,"%   On Sales")</f>
        <v>a. Stores &amp; Spares:  @ 1%   On Sales</v>
      </c>
      <c r="E197" s="598"/>
      <c r="F197" s="598"/>
      <c r="G197" s="603"/>
      <c r="H197" s="953">
        <f>H149*'Data Feeding'!$H$62/100</f>
        <v>43200</v>
      </c>
      <c r="I197" s="954">
        <f>I149*'Data Feeding'!$H$62/100</f>
        <v>25920</v>
      </c>
      <c r="J197" s="954">
        <f>J149*'Data Feeding'!$H$62/100</f>
        <v>30240</v>
      </c>
      <c r="K197" s="954">
        <f ca="1">K149*'Data Feeding'!$H$62/100</f>
        <v>34761.6103</v>
      </c>
      <c r="L197" s="955">
        <f>L149*'Data Feeding'!$H$62/100</f>
        <v>38880</v>
      </c>
      <c r="M197" s="866"/>
      <c r="N197" s="864"/>
      <c r="O197" s="90"/>
      <c r="P197" s="90"/>
      <c r="Q197" s="90"/>
      <c r="R197" s="90"/>
      <c r="S197" s="90"/>
      <c r="T197" s="90"/>
      <c r="U197" s="90"/>
      <c r="V197" s="90"/>
    </row>
    <row r="198" spans="1:22" ht="18" customHeight="1">
      <c r="A198" s="611"/>
      <c r="B198" s="302"/>
      <c r="C198" s="598"/>
      <c r="D198" s="598" t="s">
        <v>133</v>
      </c>
      <c r="E198" s="598"/>
      <c r="F198" s="598"/>
      <c r="G198" s="603"/>
      <c r="H198" s="953"/>
      <c r="I198" s="954"/>
      <c r="J198" s="954"/>
      <c r="K198" s="954"/>
      <c r="L198" s="955"/>
      <c r="M198" s="866"/>
      <c r="N198" s="864"/>
      <c r="O198" s="90"/>
      <c r="P198" s="90"/>
      <c r="Q198" s="90"/>
      <c r="R198" s="90"/>
      <c r="S198" s="90"/>
      <c r="T198" s="90"/>
      <c r="U198" s="90"/>
      <c r="V198" s="90"/>
    </row>
    <row r="199" spans="1:22" ht="18" customHeight="1">
      <c r="A199" s="611"/>
      <c r="B199" s="302"/>
      <c r="C199" s="302"/>
      <c r="D199" s="622">
        <f>'Data Feeding'!H63</f>
        <v>1</v>
      </c>
      <c r="E199" s="302" t="s">
        <v>135</v>
      </c>
      <c r="F199" s="302"/>
      <c r="G199" s="603"/>
      <c r="H199" s="953">
        <f>'Data Feeding'!K81*D199/100</f>
        <v>0</v>
      </c>
      <c r="I199" s="954">
        <f>+H199*I188/H188</f>
        <v>0</v>
      </c>
      <c r="J199" s="954">
        <f>+I199*J188/I188</f>
        <v>0</v>
      </c>
      <c r="K199" s="954">
        <f>+J199*K188/J188</f>
        <v>0</v>
      </c>
      <c r="L199" s="955">
        <f>+K199*L188/K188</f>
        <v>0</v>
      </c>
      <c r="M199" s="866"/>
      <c r="N199" s="864"/>
      <c r="O199" s="90"/>
      <c r="P199" s="90"/>
      <c r="Q199" s="90"/>
      <c r="R199" s="90"/>
      <c r="S199" s="90"/>
      <c r="T199" s="90"/>
      <c r="U199" s="90"/>
      <c r="V199" s="90"/>
    </row>
    <row r="200" spans="1:22" ht="18" customHeight="1">
      <c r="A200" s="611"/>
      <c r="B200" s="302"/>
      <c r="C200" s="302"/>
      <c r="D200" s="622">
        <f>'Data Feeding'!H64</f>
        <v>1.5</v>
      </c>
      <c r="E200" s="302" t="s">
        <v>134</v>
      </c>
      <c r="F200" s="302"/>
      <c r="G200" s="603"/>
      <c r="H200" s="953">
        <f>$D$200*Report!L110/100</f>
        <v>9000</v>
      </c>
      <c r="I200" s="954">
        <f>+H200*I188/H188</f>
        <v>5400</v>
      </c>
      <c r="J200" s="954">
        <f>+I200*J188/I188</f>
        <v>6300</v>
      </c>
      <c r="K200" s="954">
        <f>+J200*K188/J188</f>
        <v>7200</v>
      </c>
      <c r="L200" s="955">
        <f>+K200*L188/K188</f>
        <v>8100</v>
      </c>
      <c r="M200" s="866"/>
      <c r="N200" s="864"/>
      <c r="O200" s="90"/>
      <c r="P200" s="90"/>
      <c r="Q200" s="90"/>
      <c r="R200" s="90"/>
      <c r="S200" s="90"/>
      <c r="T200" s="90"/>
      <c r="U200" s="90"/>
      <c r="V200" s="90"/>
    </row>
    <row r="201" spans="1:22" ht="18" customHeight="1">
      <c r="A201" s="612"/>
      <c r="B201" s="613"/>
      <c r="C201" s="613"/>
      <c r="D201" s="613"/>
      <c r="E201" s="613"/>
      <c r="F201" s="613"/>
      <c r="G201" s="613"/>
      <c r="H201" s="956">
        <f>SUM(H197:H200)</f>
        <v>52200</v>
      </c>
      <c r="I201" s="957">
        <f>SUM(I197:I200)</f>
        <v>31320</v>
      </c>
      <c r="J201" s="957">
        <f>SUM(J197:J200)</f>
        <v>36540</v>
      </c>
      <c r="K201" s="957">
        <f ca="1">SUM(K197:K200)</f>
        <v>41961.6103</v>
      </c>
      <c r="L201" s="958">
        <f>SUM(L197:L200)</f>
        <v>46980</v>
      </c>
      <c r="M201" s="866"/>
      <c r="N201" s="864"/>
      <c r="O201" s="90"/>
      <c r="P201" s="90"/>
      <c r="Q201" s="90"/>
      <c r="R201" s="90"/>
      <c r="S201" s="90"/>
      <c r="T201" s="90"/>
      <c r="U201" s="90"/>
      <c r="V201" s="90"/>
    </row>
    <row r="202" spans="1:22" s="90" customFormat="1" ht="12" customHeight="1">
      <c r="A202" s="124"/>
      <c r="B202" s="4"/>
      <c r="C202" s="4"/>
      <c r="D202" s="4"/>
      <c r="E202" s="4"/>
      <c r="F202" s="4"/>
      <c r="G202" s="4"/>
      <c r="H202" s="962"/>
      <c r="I202" s="961"/>
      <c r="J202" s="961"/>
      <c r="K202" s="961"/>
      <c r="L202" s="961"/>
      <c r="M202" s="866"/>
      <c r="N202" s="864"/>
    </row>
    <row r="203" spans="1:22" ht="18" customHeight="1">
      <c r="A203" s="668"/>
      <c r="B203" s="669"/>
      <c r="C203" s="852" t="s">
        <v>647</v>
      </c>
      <c r="D203" s="852"/>
      <c r="E203" s="853"/>
      <c r="F203" s="853"/>
      <c r="G203" s="853"/>
      <c r="H203" s="977"/>
      <c r="I203" s="978"/>
      <c r="J203" s="978"/>
      <c r="K203" s="978"/>
      <c r="L203" s="979"/>
      <c r="M203" s="866"/>
      <c r="N203" s="864"/>
      <c r="O203" s="90"/>
      <c r="P203" s="90"/>
      <c r="Q203" s="90"/>
      <c r="R203" s="90"/>
      <c r="S203" s="90"/>
      <c r="T203" s="90"/>
      <c r="U203" s="90"/>
      <c r="V203" s="90"/>
    </row>
    <row r="204" spans="1:22" ht="18" customHeight="1">
      <c r="A204" s="628"/>
      <c r="B204" s="629" t="str">
        <f>CONCATENATE("a. On Buildings - ",'Data Feeding'!G65," %")</f>
        <v>a. On Buildings - 5 %</v>
      </c>
      <c r="C204" s="623"/>
      <c r="D204" s="623"/>
      <c r="E204" s="630"/>
      <c r="F204" s="631" t="s">
        <v>318</v>
      </c>
      <c r="G204" s="630"/>
      <c r="H204" s="632">
        <f>+Report!L109</f>
        <v>0</v>
      </c>
      <c r="I204" s="633">
        <f>+H204</f>
        <v>0</v>
      </c>
      <c r="J204" s="633">
        <f>+I206</f>
        <v>0</v>
      </c>
      <c r="K204" s="633">
        <f>+J206</f>
        <v>0</v>
      </c>
      <c r="L204" s="634">
        <f>+K206</f>
        <v>0</v>
      </c>
      <c r="M204" s="866"/>
      <c r="N204" s="864"/>
      <c r="O204" s="90"/>
      <c r="P204" s="90"/>
      <c r="Q204" s="90"/>
      <c r="R204" s="90"/>
      <c r="S204" s="90"/>
      <c r="T204" s="90"/>
      <c r="U204" s="90"/>
      <c r="V204" s="90"/>
    </row>
    <row r="205" spans="1:22" ht="18" customHeight="1">
      <c r="A205" s="624"/>
      <c r="B205" s="625"/>
      <c r="C205" s="116"/>
      <c r="D205" s="116"/>
      <c r="E205" s="432"/>
      <c r="F205" s="312" t="s">
        <v>187</v>
      </c>
      <c r="G205" s="432"/>
      <c r="H205" s="430"/>
      <c r="I205" s="429">
        <f>+'Data Feeding'!F148</f>
        <v>0</v>
      </c>
      <c r="J205" s="429">
        <f>+'Data Feeding'!G148</f>
        <v>0</v>
      </c>
      <c r="K205" s="429">
        <f>+'Data Feeding'!H148</f>
        <v>0</v>
      </c>
      <c r="L205" s="620">
        <f>+'Data Feeding'!I148</f>
        <v>0</v>
      </c>
      <c r="M205" s="866"/>
      <c r="N205" s="864"/>
      <c r="O205" s="90"/>
      <c r="P205" s="90"/>
      <c r="Q205" s="90"/>
      <c r="R205" s="90"/>
      <c r="S205" s="90"/>
      <c r="T205" s="90"/>
      <c r="U205" s="90"/>
      <c r="V205" s="90"/>
    </row>
    <row r="206" spans="1:22" ht="18" customHeight="1">
      <c r="A206" s="635"/>
      <c r="B206" s="636"/>
      <c r="C206" s="443"/>
      <c r="D206" s="443"/>
      <c r="E206" s="637"/>
      <c r="F206" s="627" t="s">
        <v>317</v>
      </c>
      <c r="G206" s="637"/>
      <c r="H206" s="440"/>
      <c r="I206" s="439">
        <f>+I204-I205</f>
        <v>0</v>
      </c>
      <c r="J206" s="439">
        <f>+J204-J205</f>
        <v>0</v>
      </c>
      <c r="K206" s="439">
        <f>+K204-K205</f>
        <v>0</v>
      </c>
      <c r="L206" s="616">
        <f>+L204-L205</f>
        <v>0</v>
      </c>
      <c r="M206" s="866"/>
      <c r="N206" s="864"/>
      <c r="O206" s="90"/>
      <c r="P206" s="90"/>
      <c r="Q206" s="90"/>
      <c r="R206" s="90"/>
      <c r="S206" s="90"/>
      <c r="T206" s="90"/>
      <c r="U206" s="90"/>
      <c r="V206" s="90"/>
    </row>
    <row r="207" spans="1:22" ht="18" customHeight="1">
      <c r="A207" s="628"/>
      <c r="B207" s="629" t="str">
        <f>CONCATENATE("b. On Machinery - ",'Data Feeding'!H65," %")</f>
        <v>b. On Machinery - 10 %</v>
      </c>
      <c r="C207" s="623"/>
      <c r="D207" s="623"/>
      <c r="E207" s="630"/>
      <c r="F207" s="631" t="s">
        <v>318</v>
      </c>
      <c r="G207" s="630"/>
      <c r="H207" s="950">
        <f>+Report!L110</f>
        <v>600000</v>
      </c>
      <c r="I207" s="951">
        <f>+H207</f>
        <v>600000</v>
      </c>
      <c r="J207" s="951">
        <f>+I209</f>
        <v>540000</v>
      </c>
      <c r="K207" s="951">
        <f>+J209</f>
        <v>480000</v>
      </c>
      <c r="L207" s="952">
        <f>+K209</f>
        <v>420000</v>
      </c>
      <c r="M207" s="866"/>
      <c r="N207" s="864"/>
      <c r="O207" s="90"/>
      <c r="P207" s="90"/>
      <c r="Q207" s="90"/>
      <c r="R207" s="90"/>
      <c r="S207" s="90"/>
      <c r="T207" s="90"/>
      <c r="U207" s="90"/>
      <c r="V207" s="90"/>
    </row>
    <row r="208" spans="1:22" ht="18" customHeight="1">
      <c r="A208" s="624"/>
      <c r="B208" s="625"/>
      <c r="C208" s="116"/>
      <c r="D208" s="116"/>
      <c r="E208" s="432"/>
      <c r="F208" s="312" t="s">
        <v>187</v>
      </c>
      <c r="G208" s="432"/>
      <c r="H208" s="953"/>
      <c r="I208" s="954">
        <f>+'Data Feeding'!F149</f>
        <v>60000</v>
      </c>
      <c r="J208" s="954">
        <f>+'Data Feeding'!G149</f>
        <v>60000</v>
      </c>
      <c r="K208" s="954">
        <f>+'Data Feeding'!H149</f>
        <v>60000</v>
      </c>
      <c r="L208" s="955">
        <f>+'Data Feeding'!I149</f>
        <v>60000</v>
      </c>
      <c r="M208" s="866"/>
      <c r="N208" s="864"/>
      <c r="O208" s="90"/>
      <c r="P208" s="90"/>
      <c r="Q208" s="90"/>
      <c r="R208" s="90"/>
      <c r="S208" s="90"/>
      <c r="T208" s="90"/>
      <c r="U208" s="90"/>
      <c r="V208" s="90"/>
    </row>
    <row r="209" spans="1:22" ht="18" customHeight="1">
      <c r="A209" s="635"/>
      <c r="B209" s="636"/>
      <c r="C209" s="443"/>
      <c r="D209" s="443"/>
      <c r="E209" s="637"/>
      <c r="F209" s="627" t="s">
        <v>317</v>
      </c>
      <c r="G209" s="637"/>
      <c r="H209" s="956"/>
      <c r="I209" s="957">
        <f>+I207-I208</f>
        <v>540000</v>
      </c>
      <c r="J209" s="957">
        <f>+J207-J208</f>
        <v>480000</v>
      </c>
      <c r="K209" s="957">
        <f>+K207-K208</f>
        <v>420000</v>
      </c>
      <c r="L209" s="958">
        <f>+L207-L208</f>
        <v>360000</v>
      </c>
      <c r="M209" s="866"/>
      <c r="N209" s="864"/>
      <c r="O209" s="90"/>
      <c r="P209" s="90"/>
      <c r="Q209" s="90"/>
      <c r="R209" s="90"/>
      <c r="S209" s="90"/>
      <c r="T209" s="90"/>
      <c r="U209" s="90"/>
      <c r="V209" s="90"/>
    </row>
    <row r="210" spans="1:22" ht="18" customHeight="1">
      <c r="A210" s="638"/>
      <c r="B210" s="629" t="s">
        <v>89</v>
      </c>
      <c r="C210" s="623"/>
      <c r="D210" s="639"/>
      <c r="E210" s="630"/>
      <c r="F210" s="631" t="s">
        <v>318</v>
      </c>
      <c r="G210" s="630"/>
      <c r="H210" s="950">
        <f>+H207+H204</f>
        <v>600000</v>
      </c>
      <c r="I210" s="951">
        <f t="shared" ref="I210:L212" si="14">I204+I207</f>
        <v>600000</v>
      </c>
      <c r="J210" s="951">
        <f t="shared" si="14"/>
        <v>540000</v>
      </c>
      <c r="K210" s="951">
        <f t="shared" si="14"/>
        <v>480000</v>
      </c>
      <c r="L210" s="952">
        <f t="shared" si="14"/>
        <v>420000</v>
      </c>
      <c r="M210" s="866"/>
      <c r="N210" s="864"/>
      <c r="O210" s="90"/>
      <c r="P210" s="90"/>
      <c r="Q210" s="90"/>
      <c r="R210" s="90"/>
      <c r="S210" s="90"/>
      <c r="T210" s="90"/>
      <c r="U210" s="90"/>
      <c r="V210" s="90"/>
    </row>
    <row r="211" spans="1:22" ht="18" customHeight="1">
      <c r="A211" s="611"/>
      <c r="B211" s="302"/>
      <c r="C211" s="302"/>
      <c r="D211" s="312"/>
      <c r="E211" s="626"/>
      <c r="F211" s="312" t="s">
        <v>187</v>
      </c>
      <c r="G211" s="604"/>
      <c r="H211" s="953"/>
      <c r="I211" s="954">
        <f t="shared" si="14"/>
        <v>60000</v>
      </c>
      <c r="J211" s="954">
        <f t="shared" si="14"/>
        <v>60000</v>
      </c>
      <c r="K211" s="954">
        <f t="shared" si="14"/>
        <v>60000</v>
      </c>
      <c r="L211" s="955">
        <f t="shared" si="14"/>
        <v>60000</v>
      </c>
      <c r="M211" s="866"/>
      <c r="N211" s="864"/>
      <c r="O211" s="90"/>
      <c r="P211" s="90"/>
      <c r="Q211" s="90"/>
      <c r="R211" s="90"/>
      <c r="S211" s="90"/>
      <c r="T211" s="90"/>
      <c r="U211" s="90"/>
      <c r="V211" s="90"/>
    </row>
    <row r="212" spans="1:22" ht="18" customHeight="1">
      <c r="A212" s="621"/>
      <c r="B212" s="443"/>
      <c r="C212" s="443"/>
      <c r="D212" s="443"/>
      <c r="E212" s="443"/>
      <c r="F212" s="627" t="s">
        <v>317</v>
      </c>
      <c r="G212" s="443"/>
      <c r="H212" s="959"/>
      <c r="I212" s="957">
        <f t="shared" si="14"/>
        <v>540000</v>
      </c>
      <c r="J212" s="957">
        <f t="shared" si="14"/>
        <v>480000</v>
      </c>
      <c r="K212" s="957">
        <f t="shared" si="14"/>
        <v>420000</v>
      </c>
      <c r="L212" s="958">
        <f t="shared" si="14"/>
        <v>360000</v>
      </c>
      <c r="M212" s="866"/>
      <c r="N212" s="864"/>
      <c r="O212" s="90"/>
      <c r="P212" s="90"/>
      <c r="Q212" s="90"/>
      <c r="R212" s="90"/>
      <c r="S212" s="90"/>
      <c r="T212" s="90"/>
      <c r="U212" s="90"/>
      <c r="V212" s="90"/>
    </row>
    <row r="213" spans="1:22" s="90" customFormat="1" ht="12" customHeight="1">
      <c r="A213" s="438"/>
      <c r="B213" s="6"/>
      <c r="C213" s="6"/>
      <c r="D213" s="6"/>
      <c r="E213" s="6"/>
      <c r="F213" s="66"/>
      <c r="G213" s="6"/>
      <c r="H213" s="960"/>
      <c r="I213" s="961"/>
      <c r="J213" s="961"/>
      <c r="K213" s="961"/>
      <c r="L213" s="961"/>
      <c r="M213" s="866"/>
      <c r="N213" s="864"/>
    </row>
    <row r="214" spans="1:22" ht="18" customHeight="1">
      <c r="A214" s="606"/>
      <c r="B214" s="623"/>
      <c r="C214" s="846" t="s">
        <v>648</v>
      </c>
      <c r="D214" s="846"/>
      <c r="E214" s="847"/>
      <c r="F214" s="847"/>
      <c r="G214" s="847"/>
      <c r="H214" s="848"/>
      <c r="I214" s="851"/>
      <c r="J214" s="633"/>
      <c r="K214" s="633"/>
      <c r="L214" s="634"/>
      <c r="M214" s="866"/>
      <c r="N214" s="864"/>
      <c r="O214" s="90"/>
      <c r="P214" s="90"/>
      <c r="Q214" s="90"/>
      <c r="R214" s="90"/>
      <c r="S214" s="90"/>
      <c r="T214" s="90"/>
      <c r="U214" s="90"/>
      <c r="V214" s="90"/>
    </row>
    <row r="215" spans="1:22" ht="18" customHeight="1">
      <c r="A215" s="612"/>
      <c r="B215" s="442"/>
      <c r="C215" s="613"/>
      <c r="D215" s="613"/>
      <c r="E215" s="613"/>
      <c r="F215" s="649"/>
      <c r="G215" s="650" t="s">
        <v>97</v>
      </c>
      <c r="H215" s="956">
        <f>+'Data Feeding'!H66*12</f>
        <v>96000</v>
      </c>
      <c r="I215" s="957">
        <f>H215</f>
        <v>96000</v>
      </c>
      <c r="J215" s="957">
        <f>+I215</f>
        <v>96000</v>
      </c>
      <c r="K215" s="957">
        <f>+J215</f>
        <v>96000</v>
      </c>
      <c r="L215" s="958">
        <f>+K215</f>
        <v>96000</v>
      </c>
      <c r="M215" s="866"/>
      <c r="N215" s="864"/>
      <c r="O215" s="90"/>
      <c r="P215" s="90"/>
      <c r="Q215" s="90"/>
      <c r="R215" s="90"/>
      <c r="S215" s="90"/>
      <c r="T215" s="90"/>
      <c r="U215" s="90"/>
      <c r="V215" s="90"/>
    </row>
    <row r="216" spans="1:22" s="90" customFormat="1" ht="12" customHeight="1">
      <c r="A216" s="124"/>
      <c r="B216" s="42"/>
      <c r="C216" s="4"/>
      <c r="D216" s="4"/>
      <c r="E216" s="4"/>
      <c r="F216" s="22"/>
      <c r="G216" s="73"/>
      <c r="H216" s="962"/>
      <c r="I216" s="961"/>
      <c r="J216" s="961"/>
      <c r="K216" s="961"/>
      <c r="L216" s="961"/>
      <c r="M216" s="866"/>
      <c r="N216" s="864"/>
    </row>
    <row r="217" spans="1:22" ht="18" customHeight="1">
      <c r="A217" s="606"/>
      <c r="B217" s="618"/>
      <c r="C217" s="849" t="s">
        <v>649</v>
      </c>
      <c r="D217" s="849"/>
      <c r="E217" s="850"/>
      <c r="F217" s="850"/>
      <c r="G217" s="850"/>
      <c r="H217" s="963"/>
      <c r="I217" s="964"/>
      <c r="J217" s="964"/>
      <c r="K217" s="951"/>
      <c r="L217" s="952"/>
      <c r="M217" s="866"/>
      <c r="N217" s="864"/>
      <c r="O217" s="90"/>
      <c r="P217" s="90"/>
      <c r="Q217" s="90"/>
      <c r="R217" s="90"/>
      <c r="S217" s="90"/>
      <c r="T217" s="90"/>
      <c r="U217" s="90"/>
      <c r="V217" s="90"/>
    </row>
    <row r="218" spans="1:22" ht="18" customHeight="1">
      <c r="A218" s="612"/>
      <c r="B218" s="613"/>
      <c r="C218" s="614"/>
      <c r="D218" s="651">
        <f>'Data Feeding'!H68</f>
        <v>1</v>
      </c>
      <c r="E218" s="614" t="s">
        <v>195</v>
      </c>
      <c r="F218" s="652"/>
      <c r="G218" s="614"/>
      <c r="H218" s="956">
        <f>$D$218*H149/100</f>
        <v>43200</v>
      </c>
      <c r="I218" s="957">
        <f>$D$218*I149/100</f>
        <v>25920</v>
      </c>
      <c r="J218" s="957">
        <f>$D$218*J149/100</f>
        <v>30240</v>
      </c>
      <c r="K218" s="957">
        <f ca="1">$D$218*K149/100</f>
        <v>34761.6103</v>
      </c>
      <c r="L218" s="958">
        <f>$D$218*L149/100</f>
        <v>38880</v>
      </c>
      <c r="M218" s="866"/>
      <c r="N218" s="864"/>
      <c r="O218" s="90"/>
      <c r="P218" s="90"/>
      <c r="Q218" s="90"/>
      <c r="R218" s="90"/>
      <c r="S218" s="90"/>
      <c r="T218" s="90"/>
      <c r="U218" s="90"/>
      <c r="V218" s="90"/>
    </row>
    <row r="219" spans="1:22" s="90" customFormat="1" ht="12" customHeight="1">
      <c r="A219" s="124"/>
      <c r="B219" s="4"/>
      <c r="C219" s="13"/>
      <c r="D219" s="52"/>
      <c r="E219" s="13"/>
      <c r="F219" s="16"/>
      <c r="G219" s="13"/>
      <c r="H219" s="962"/>
      <c r="I219" s="961"/>
      <c r="J219" s="961"/>
      <c r="K219" s="961"/>
      <c r="L219" s="961"/>
      <c r="M219" s="866"/>
      <c r="N219" s="864"/>
    </row>
    <row r="220" spans="1:22" ht="18" customHeight="1">
      <c r="A220" s="606"/>
      <c r="B220" s="623"/>
      <c r="C220" s="846" t="s">
        <v>650</v>
      </c>
      <c r="D220" s="846"/>
      <c r="E220" s="847"/>
      <c r="F220" s="847"/>
      <c r="G220" s="847"/>
      <c r="H220" s="963"/>
      <c r="I220" s="951"/>
      <c r="J220" s="951"/>
      <c r="K220" s="951"/>
      <c r="L220" s="952"/>
      <c r="M220" s="866"/>
      <c r="N220" s="864"/>
      <c r="O220" s="90"/>
      <c r="P220" s="90"/>
      <c r="Q220" s="90"/>
      <c r="R220" s="90"/>
      <c r="S220" s="90"/>
      <c r="T220" s="90"/>
      <c r="U220" s="90"/>
      <c r="V220" s="90"/>
    </row>
    <row r="221" spans="1:22" ht="18" customHeight="1">
      <c r="A221" s="612"/>
      <c r="B221" s="613"/>
      <c r="C221" s="613"/>
      <c r="D221" s="653">
        <f>'Data Feeding'!H67</f>
        <v>0.5</v>
      </c>
      <c r="E221" s="613" t="s">
        <v>141</v>
      </c>
      <c r="F221" s="654"/>
      <c r="G221" s="613"/>
      <c r="H221" s="956">
        <f>'Data Feeding'!H67*H149/100</f>
        <v>21600</v>
      </c>
      <c r="I221" s="957">
        <f>+I149*$D$221/100</f>
        <v>12960</v>
      </c>
      <c r="J221" s="957">
        <f t="shared" ref="J221:L221" si="15">+J149*$D$221/100</f>
        <v>15120</v>
      </c>
      <c r="K221" s="957">
        <f ca="1">+K149*$D$221/100</f>
        <v>17380.80515</v>
      </c>
      <c r="L221" s="958">
        <f t="shared" si="15"/>
        <v>19440</v>
      </c>
      <c r="M221" s="866"/>
      <c r="N221" s="864"/>
      <c r="O221" s="90"/>
      <c r="P221" s="90"/>
      <c r="Q221" s="90"/>
      <c r="R221" s="90"/>
      <c r="S221" s="90"/>
      <c r="T221" s="90"/>
      <c r="U221" s="90"/>
      <c r="V221" s="90"/>
    </row>
    <row r="222" spans="1:22" s="90" customFormat="1" ht="12" customHeight="1">
      <c r="A222" s="124"/>
      <c r="B222" s="4"/>
      <c r="C222" s="4"/>
      <c r="D222" s="14"/>
      <c r="E222" s="4"/>
      <c r="F222" s="20"/>
      <c r="G222" s="4"/>
      <c r="H222" s="962"/>
      <c r="I222" s="961"/>
      <c r="J222" s="961"/>
      <c r="K222" s="961"/>
      <c r="L222" s="961"/>
      <c r="M222" s="866"/>
      <c r="N222" s="864"/>
    </row>
    <row r="223" spans="1:22" ht="18" customHeight="1">
      <c r="A223" s="1016"/>
      <c r="B223" s="1017"/>
      <c r="C223" s="1018" t="s">
        <v>651</v>
      </c>
      <c r="D223" s="1018"/>
      <c r="E223" s="1019"/>
      <c r="F223" s="1019"/>
      <c r="G223" s="1019"/>
      <c r="H223" s="1020"/>
      <c r="I223" s="1021"/>
      <c r="J223" s="1021"/>
      <c r="K223" s="1021"/>
      <c r="L223" s="1022"/>
      <c r="M223" s="866"/>
      <c r="N223" s="864"/>
      <c r="O223" s="90"/>
      <c r="P223" s="90"/>
      <c r="Q223" s="90"/>
      <c r="R223" s="90"/>
      <c r="S223" s="90"/>
      <c r="T223" s="90"/>
      <c r="U223" s="90"/>
      <c r="V223" s="90"/>
    </row>
    <row r="224" spans="1:22" ht="18" customHeight="1">
      <c r="A224" s="611"/>
      <c r="B224" s="302"/>
      <c r="C224" s="302"/>
      <c r="D224" s="655" t="s">
        <v>258</v>
      </c>
      <c r="E224" s="302"/>
      <c r="F224" s="656"/>
      <c r="G224" s="302"/>
      <c r="H224" s="953">
        <f>+I390</f>
        <v>424500</v>
      </c>
      <c r="I224" s="953">
        <f t="shared" ref="I224:K224" si="16">+J390</f>
        <v>495000</v>
      </c>
      <c r="J224" s="953">
        <f ca="1">+K390</f>
        <v>567000</v>
      </c>
      <c r="K224" s="953">
        <f t="shared" si="16"/>
        <v>636750</v>
      </c>
      <c r="L224" s="955">
        <f>+K224</f>
        <v>636750</v>
      </c>
      <c r="M224" s="866"/>
      <c r="N224" s="864"/>
      <c r="O224" s="90"/>
      <c r="P224" s="90"/>
      <c r="Q224" s="90"/>
      <c r="R224" s="90"/>
      <c r="S224" s="90"/>
      <c r="T224" s="90"/>
      <c r="U224" s="90"/>
      <c r="V224" s="90"/>
    </row>
    <row r="225" spans="1:22" ht="18" customHeight="1">
      <c r="A225" s="612"/>
      <c r="B225" s="613"/>
      <c r="C225" s="657"/>
      <c r="D225" s="658" t="str">
        <f>CONCATENATE("Interest to be charged at ",'Data Feeding'!H71,"% p.a.")</f>
        <v>Interest to be charged at 11.5% p.a.</v>
      </c>
      <c r="E225" s="658"/>
      <c r="F225" s="658"/>
      <c r="G225" s="658"/>
      <c r="H225" s="956">
        <f>+H224*'Data Feeding'!$H$71/100</f>
        <v>48817.5</v>
      </c>
      <c r="I225" s="956">
        <f>+I224*'Data Feeding'!$H$71/100</f>
        <v>56925</v>
      </c>
      <c r="J225" s="956">
        <f ca="1">(+J224*'Data Feeding'!$H$71/100)+P3639</f>
        <v>68051</v>
      </c>
      <c r="K225" s="956">
        <f ca="1">(+K224*'Data Feeding'!$H$71/100)+P3639</f>
        <v>76072.25</v>
      </c>
      <c r="L225" s="965">
        <f ca="1">(+L224*'Data Feeding'!$H$71/100)+P3639</f>
        <v>76072.25</v>
      </c>
      <c r="M225" s="866"/>
      <c r="N225" s="864"/>
      <c r="O225" s="90"/>
      <c r="P225" s="90"/>
      <c r="Q225" s="90"/>
      <c r="R225" s="90"/>
      <c r="S225" s="90"/>
      <c r="T225" s="90"/>
      <c r="U225" s="90"/>
      <c r="V225" s="90"/>
    </row>
    <row r="226" spans="1:22" s="90" customFormat="1" ht="10.5" customHeight="1" thickBot="1">
      <c r="A226" s="124"/>
      <c r="B226" s="1011"/>
      <c r="C226" s="1012"/>
      <c r="D226" s="1013"/>
      <c r="E226" s="1013"/>
      <c r="F226" s="1013"/>
      <c r="G226" s="1013"/>
      <c r="H226" s="1014"/>
      <c r="I226" s="1014"/>
      <c r="J226" s="1014"/>
      <c r="K226" s="1015"/>
      <c r="L226" s="962"/>
      <c r="M226" s="866"/>
      <c r="N226" s="864"/>
    </row>
    <row r="227" spans="1:22" s="90" customFormat="1" ht="18" customHeight="1" thickTop="1">
      <c r="A227" s="1232" t="s">
        <v>659</v>
      </c>
      <c r="B227" s="1233"/>
      <c r="C227" s="1233"/>
      <c r="D227" s="1233"/>
      <c r="E227" s="1233"/>
      <c r="F227" s="1233"/>
      <c r="G227" s="1233"/>
      <c r="H227" s="1233"/>
      <c r="I227" s="1233"/>
      <c r="J227" s="1233"/>
      <c r="K227" s="1233"/>
      <c r="L227" s="1500"/>
      <c r="M227" s="866"/>
      <c r="N227" s="864"/>
    </row>
    <row r="228" spans="1:22" s="90" customFormat="1" ht="18" customHeight="1">
      <c r="A228" s="1008"/>
      <c r="B228" s="1129" t="s">
        <v>565</v>
      </c>
      <c r="C228" s="1129"/>
      <c r="D228" s="1129"/>
      <c r="E228" s="1129"/>
      <c r="F228" s="1129"/>
      <c r="G228" s="1129"/>
      <c r="H228" s="1129"/>
      <c r="I228" s="1129"/>
      <c r="J228" s="139" t="s">
        <v>482</v>
      </c>
      <c r="K228" s="1009" t="s">
        <v>483</v>
      </c>
      <c r="L228" s="1024" t="s">
        <v>484</v>
      </c>
      <c r="M228" s="866"/>
      <c r="N228" s="864"/>
    </row>
    <row r="229" spans="1:22" s="90" customFormat="1" ht="18" customHeight="1">
      <c r="A229" s="519">
        <f>+'Data Feeding'!B84</f>
        <v>1</v>
      </c>
      <c r="B229" s="1162" t="str">
        <f>+'Data Feeding'!C84</f>
        <v>Pulvariser / Grinder / Mixer with motars</v>
      </c>
      <c r="C229" s="1162"/>
      <c r="D229" s="1162"/>
      <c r="E229" s="1162"/>
      <c r="F229" s="1162"/>
      <c r="G229" s="1162"/>
      <c r="H229" s="1162"/>
      <c r="I229" s="1162"/>
      <c r="J229" s="139">
        <f>+'Data Feeding'!H84</f>
        <v>0</v>
      </c>
      <c r="K229" s="116">
        <f>+'Data Feeding'!I84</f>
        <v>0</v>
      </c>
      <c r="L229" s="1025">
        <f>+'Data Feeding'!J84</f>
        <v>500000</v>
      </c>
      <c r="M229" s="866"/>
      <c r="N229" s="864"/>
    </row>
    <row r="230" spans="1:22" s="90" customFormat="1" ht="18" customHeight="1">
      <c r="A230" s="519">
        <f>+'Data Feeding'!B85</f>
        <v>2</v>
      </c>
      <c r="B230" s="1162" t="str">
        <f>+'Data Feeding'!C85</f>
        <v>Packing Machine</v>
      </c>
      <c r="C230" s="1162"/>
      <c r="D230" s="1162"/>
      <c r="E230" s="1162"/>
      <c r="F230" s="1162"/>
      <c r="G230" s="1162"/>
      <c r="H230" s="1162"/>
      <c r="I230" s="1162"/>
      <c r="J230" s="139">
        <f>+'Data Feeding'!H85</f>
        <v>0</v>
      </c>
      <c r="K230" s="116">
        <f>+'Data Feeding'!I85</f>
        <v>0</v>
      </c>
      <c r="L230" s="1025">
        <f>+'Data Feeding'!J85</f>
        <v>50000</v>
      </c>
      <c r="M230" s="866"/>
      <c r="N230" s="864"/>
    </row>
    <row r="231" spans="1:22" s="90" customFormat="1" ht="18" customHeight="1">
      <c r="A231" s="519">
        <f>+'Data Feeding'!B86</f>
        <v>3</v>
      </c>
      <c r="B231" s="1162" t="str">
        <f>+'Data Feeding'!C86</f>
        <v>Weighing Machine</v>
      </c>
      <c r="C231" s="1162"/>
      <c r="D231" s="1162"/>
      <c r="E231" s="1162"/>
      <c r="F231" s="1162"/>
      <c r="G231" s="1162"/>
      <c r="H231" s="1162"/>
      <c r="I231" s="1162"/>
      <c r="J231" s="139">
        <f>+'Data Feeding'!H86</f>
        <v>0</v>
      </c>
      <c r="K231" s="116">
        <f>+'Data Feeding'!I86</f>
        <v>0</v>
      </c>
      <c r="L231" s="1025">
        <f>+'Data Feeding'!J86</f>
        <v>50000</v>
      </c>
      <c r="M231" s="866"/>
      <c r="N231" s="864"/>
    </row>
    <row r="232" spans="1:22" s="90" customFormat="1" ht="18" customHeight="1">
      <c r="A232" s="519">
        <f>+'Data Feeding'!B87</f>
        <v>4</v>
      </c>
      <c r="B232" s="1162">
        <f>+'Data Feeding'!C87</f>
        <v>0</v>
      </c>
      <c r="C232" s="1162"/>
      <c r="D232" s="1162"/>
      <c r="E232" s="1162"/>
      <c r="F232" s="1162"/>
      <c r="G232" s="1162"/>
      <c r="H232" s="1162"/>
      <c r="I232" s="1162"/>
      <c r="J232" s="139">
        <f>+'Data Feeding'!H87</f>
        <v>0</v>
      </c>
      <c r="K232" s="116">
        <f>+'Data Feeding'!I87</f>
        <v>0</v>
      </c>
      <c r="L232" s="1025">
        <f>+'Data Feeding'!J87</f>
        <v>0</v>
      </c>
      <c r="M232" s="866"/>
      <c r="N232" s="864"/>
    </row>
    <row r="233" spans="1:22" s="90" customFormat="1" ht="18" customHeight="1">
      <c r="A233" s="519">
        <f>+'Data Feeding'!B88</f>
        <v>5</v>
      </c>
      <c r="B233" s="1162">
        <f>+'Data Feeding'!C88</f>
        <v>0</v>
      </c>
      <c r="C233" s="1162"/>
      <c r="D233" s="1162"/>
      <c r="E233" s="1162"/>
      <c r="F233" s="1162"/>
      <c r="G233" s="1162"/>
      <c r="H233" s="1162"/>
      <c r="I233" s="1162"/>
      <c r="J233" s="139">
        <f>+'Data Feeding'!H88</f>
        <v>0</v>
      </c>
      <c r="K233" s="116">
        <f>+'Data Feeding'!I88</f>
        <v>0</v>
      </c>
      <c r="L233" s="1025">
        <f>+'Data Feeding'!J88</f>
        <v>0</v>
      </c>
      <c r="M233" s="866"/>
      <c r="N233" s="864"/>
    </row>
    <row r="234" spans="1:22" s="90" customFormat="1" ht="18" customHeight="1">
      <c r="A234" s="519">
        <f>+'Data Feeding'!B89</f>
        <v>6</v>
      </c>
      <c r="B234" s="1162">
        <f>+'Data Feeding'!C89</f>
        <v>0</v>
      </c>
      <c r="C234" s="1162"/>
      <c r="D234" s="1162"/>
      <c r="E234" s="1162"/>
      <c r="F234" s="1162"/>
      <c r="G234" s="1162"/>
      <c r="H234" s="1162"/>
      <c r="I234" s="1162"/>
      <c r="J234" s="139">
        <f>+'Data Feeding'!H89</f>
        <v>0</v>
      </c>
      <c r="K234" s="116">
        <f>+'Data Feeding'!I89</f>
        <v>0</v>
      </c>
      <c r="L234" s="1025">
        <f>+'Data Feeding'!J89</f>
        <v>0</v>
      </c>
      <c r="M234" s="866"/>
      <c r="N234" s="864"/>
    </row>
    <row r="235" spans="1:22" s="90" customFormat="1" ht="18" customHeight="1">
      <c r="A235" s="519">
        <f>+'Data Feeding'!B90</f>
        <v>7</v>
      </c>
      <c r="B235" s="1162">
        <f>+'Data Feeding'!C90</f>
        <v>0</v>
      </c>
      <c r="C235" s="1162"/>
      <c r="D235" s="1162"/>
      <c r="E235" s="1162"/>
      <c r="F235" s="1162"/>
      <c r="G235" s="1162"/>
      <c r="H235" s="1162"/>
      <c r="I235" s="1162"/>
      <c r="J235" s="139">
        <f>+'Data Feeding'!H90</f>
        <v>0</v>
      </c>
      <c r="K235" s="116">
        <f>+'Data Feeding'!I90</f>
        <v>0</v>
      </c>
      <c r="L235" s="1025">
        <f>+'Data Feeding'!J90</f>
        <v>0</v>
      </c>
      <c r="M235" s="866"/>
      <c r="N235" s="864"/>
    </row>
    <row r="236" spans="1:22" s="90" customFormat="1" ht="18" customHeight="1" thickBot="1">
      <c r="A236" s="1010"/>
      <c r="B236" s="1231"/>
      <c r="C236" s="1231"/>
      <c r="D236" s="1231"/>
      <c r="E236" s="1231"/>
      <c r="F236" s="1231"/>
      <c r="G236" s="1231"/>
      <c r="H236" s="1231"/>
      <c r="I236" s="1229" t="s">
        <v>604</v>
      </c>
      <c r="J236" s="1230"/>
      <c r="K236" s="1023"/>
      <c r="L236" s="1026">
        <f>SUM(L229:L235)</f>
        <v>600000</v>
      </c>
      <c r="M236" s="866"/>
      <c r="N236" s="864"/>
    </row>
    <row r="237" spans="1:22" s="90" customFormat="1" ht="9" customHeight="1" thickTop="1">
      <c r="A237" s="124"/>
      <c r="B237" s="6"/>
      <c r="C237" s="6"/>
      <c r="D237" s="6"/>
      <c r="E237" s="6"/>
      <c r="F237" s="6"/>
      <c r="G237" s="6"/>
      <c r="H237" s="966"/>
      <c r="I237" s="966"/>
      <c r="J237" s="966"/>
      <c r="K237" s="966"/>
      <c r="L237" s="966"/>
      <c r="M237" s="866"/>
      <c r="N237" s="864"/>
    </row>
    <row r="238" spans="1:22" ht="18" customHeight="1" thickBot="1">
      <c r="A238" s="124"/>
      <c r="B238" s="4"/>
      <c r="C238" s="4"/>
      <c r="D238" s="4"/>
      <c r="E238" s="6"/>
      <c r="F238" s="72"/>
      <c r="G238" s="72"/>
      <c r="H238" s="63"/>
      <c r="I238" s="72"/>
      <c r="J238" s="72"/>
      <c r="K238" s="72"/>
      <c r="L238" s="72"/>
      <c r="M238" s="866"/>
      <c r="N238" s="864"/>
      <c r="O238" s="90"/>
      <c r="P238" s="90"/>
      <c r="Q238" s="90"/>
      <c r="R238" s="90"/>
      <c r="S238" s="90"/>
      <c r="T238" s="90"/>
      <c r="U238" s="90"/>
      <c r="V238" s="90"/>
    </row>
    <row r="239" spans="1:22" ht="15.95" customHeight="1" thickTop="1">
      <c r="A239" s="124"/>
      <c r="B239" s="377"/>
      <c r="C239" s="1351" t="s">
        <v>104</v>
      </c>
      <c r="D239" s="1352"/>
      <c r="E239" s="1352"/>
      <c r="F239" s="1352"/>
      <c r="G239" s="1352"/>
      <c r="H239" s="1352"/>
      <c r="I239" s="1352"/>
      <c r="J239" s="1352"/>
      <c r="K239" s="1352"/>
      <c r="L239" s="845" t="str">
        <f>CONCATENATE("--  P. ",C36," --")</f>
        <v>--  P. 6 --</v>
      </c>
      <c r="M239" s="866"/>
      <c r="N239" s="864"/>
      <c r="O239" s="90"/>
      <c r="P239" s="90"/>
      <c r="Q239" s="90"/>
      <c r="R239" s="90"/>
      <c r="S239" s="90"/>
      <c r="T239" s="90"/>
      <c r="U239" s="90"/>
      <c r="V239" s="90"/>
    </row>
    <row r="240" spans="1:22" ht="15.95" customHeight="1">
      <c r="A240" s="124"/>
      <c r="B240" s="378"/>
      <c r="C240" s="687"/>
      <c r="D240" s="688"/>
      <c r="E240" s="688"/>
      <c r="F240" s="688"/>
      <c r="G240" s="688"/>
      <c r="H240" s="689"/>
      <c r="I240" s="688"/>
      <c r="J240" s="688"/>
      <c r="K240" s="688"/>
      <c r="L240" s="690"/>
      <c r="M240" s="866"/>
      <c r="N240" s="864"/>
      <c r="O240" s="90"/>
      <c r="P240" s="90"/>
      <c r="Q240" s="90"/>
      <c r="R240" s="90"/>
      <c r="S240" s="90"/>
      <c r="T240" s="90"/>
      <c r="U240" s="90"/>
      <c r="V240" s="90"/>
    </row>
    <row r="241" spans="1:22" ht="15.95" customHeight="1">
      <c r="A241" s="124"/>
      <c r="B241" s="378"/>
      <c r="C241" s="691"/>
      <c r="D241" s="692"/>
      <c r="E241" s="693" t="s">
        <v>38</v>
      </c>
      <c r="F241" s="694">
        <f>+Report!L118</f>
        <v>480000</v>
      </c>
      <c r="G241" s="695"/>
      <c r="H241" s="1365" t="s">
        <v>522</v>
      </c>
      <c r="I241" s="1366"/>
      <c r="J241" s="696">
        <f>+'Data Feeding'!I69</f>
        <v>60</v>
      </c>
      <c r="K241" s="697"/>
      <c r="L241" s="698"/>
      <c r="M241" s="866"/>
      <c r="N241" s="864"/>
      <c r="O241" s="90"/>
      <c r="P241" s="90"/>
      <c r="Q241" s="90"/>
      <c r="R241" s="90"/>
      <c r="S241" s="90"/>
      <c r="T241" s="90"/>
      <c r="U241" s="90"/>
      <c r="V241" s="90"/>
    </row>
    <row r="242" spans="1:22" ht="15.95" customHeight="1">
      <c r="A242" s="124"/>
      <c r="B242" s="378"/>
      <c r="C242" s="699" t="s">
        <v>196</v>
      </c>
      <c r="D242" s="700"/>
      <c r="E242" s="701" t="s">
        <v>143</v>
      </c>
      <c r="F242" s="701" t="s">
        <v>144</v>
      </c>
      <c r="G242" s="702" t="s">
        <v>145</v>
      </c>
      <c r="H242" s="703" t="s">
        <v>142</v>
      </c>
      <c r="I242" s="701" t="s">
        <v>143</v>
      </c>
      <c r="J242" s="701" t="s">
        <v>144</v>
      </c>
      <c r="K242" s="702" t="s">
        <v>145</v>
      </c>
      <c r="L242" s="704"/>
      <c r="M242" s="866"/>
      <c r="N242" s="864"/>
      <c r="O242" s="90"/>
      <c r="P242" s="90"/>
      <c r="Q242" s="90"/>
      <c r="R242" s="90"/>
      <c r="S242" s="90"/>
      <c r="T242" s="90"/>
      <c r="U242" s="90"/>
      <c r="V242" s="90"/>
    </row>
    <row r="243" spans="1:22" ht="15.95" customHeight="1">
      <c r="A243" s="124"/>
      <c r="B243" s="378"/>
      <c r="C243" s="705" t="s">
        <v>63</v>
      </c>
      <c r="D243" s="706">
        <v>1</v>
      </c>
      <c r="E243" s="921">
        <f>+F241</f>
        <v>480000</v>
      </c>
      <c r="F243" s="933">
        <v>0</v>
      </c>
      <c r="G243" s="937">
        <f>+E243*'Data Feeding'!H70/100/12</f>
        <v>4800</v>
      </c>
      <c r="H243" s="938">
        <f>D287+1</f>
        <v>43</v>
      </c>
      <c r="I243" s="921">
        <f>+E288</f>
        <v>168000</v>
      </c>
      <c r="J243" s="933">
        <f>+F283</f>
        <v>8000</v>
      </c>
      <c r="K243" s="937">
        <f>I243*'Data Feeding'!$H$70/100/12</f>
        <v>1680</v>
      </c>
      <c r="L243" s="939"/>
      <c r="M243" s="866"/>
      <c r="N243" s="864"/>
      <c r="O243" s="90"/>
      <c r="P243" s="90"/>
      <c r="Q243" s="90"/>
      <c r="R243" s="90"/>
      <c r="S243" s="90"/>
      <c r="T243" s="90"/>
      <c r="U243" s="90"/>
      <c r="V243" s="90"/>
    </row>
    <row r="244" spans="1:22" ht="15.95" customHeight="1">
      <c r="A244" s="124"/>
      <c r="B244" s="378"/>
      <c r="C244" s="708" t="s">
        <v>146</v>
      </c>
      <c r="D244" s="706">
        <f t="shared" ref="D244:D254" si="17">D243+1</f>
        <v>2</v>
      </c>
      <c r="E244" s="933">
        <f>+E243</f>
        <v>480000</v>
      </c>
      <c r="F244" s="933">
        <v>0</v>
      </c>
      <c r="G244" s="937">
        <f>+E244*'Data Feeding'!$H$70/100/12</f>
        <v>4800</v>
      </c>
      <c r="H244" s="938">
        <f>H243+1</f>
        <v>44</v>
      </c>
      <c r="I244" s="921">
        <f>I243-J243</f>
        <v>160000</v>
      </c>
      <c r="J244" s="933">
        <f>+J243</f>
        <v>8000</v>
      </c>
      <c r="K244" s="937">
        <f>I244*'Data Feeding'!$H$70/100/12</f>
        <v>1600</v>
      </c>
      <c r="L244" s="939"/>
      <c r="M244" s="866"/>
      <c r="N244" s="864"/>
      <c r="O244" s="90"/>
      <c r="P244" s="90"/>
      <c r="Q244" s="90"/>
      <c r="R244" s="90"/>
      <c r="S244" s="90"/>
      <c r="T244" s="90"/>
      <c r="U244" s="90"/>
      <c r="V244" s="90"/>
    </row>
    <row r="245" spans="1:22" ht="15.95" customHeight="1">
      <c r="A245" s="124"/>
      <c r="B245" s="378"/>
      <c r="C245" s="709"/>
      <c r="D245" s="706">
        <f t="shared" si="17"/>
        <v>3</v>
      </c>
      <c r="E245" s="933">
        <f t="shared" ref="E245:E254" si="18">E244-F244</f>
        <v>480000</v>
      </c>
      <c r="F245" s="933">
        <v>0</v>
      </c>
      <c r="G245" s="937">
        <f>+E245*'Data Feeding'!$H$70/100/12</f>
        <v>4800</v>
      </c>
      <c r="H245" s="938">
        <f>H244+1</f>
        <v>45</v>
      </c>
      <c r="I245" s="921">
        <f>I244-J244</f>
        <v>152000</v>
      </c>
      <c r="J245" s="933">
        <f>+J244</f>
        <v>8000</v>
      </c>
      <c r="K245" s="937">
        <f>I245*'Data Feeding'!$H$70/100/12</f>
        <v>1520</v>
      </c>
      <c r="L245" s="939"/>
      <c r="M245" s="866"/>
      <c r="N245" s="864"/>
      <c r="O245" s="90"/>
      <c r="P245" s="90"/>
      <c r="Q245" s="90"/>
      <c r="R245" s="90"/>
      <c r="S245" s="90"/>
      <c r="T245" s="90"/>
      <c r="U245" s="90"/>
      <c r="V245" s="90"/>
    </row>
    <row r="246" spans="1:22" ht="15.95" customHeight="1">
      <c r="A246" s="124"/>
      <c r="B246" s="378"/>
      <c r="C246" s="1333"/>
      <c r="D246" s="706">
        <f t="shared" si="17"/>
        <v>4</v>
      </c>
      <c r="E246" s="933">
        <f t="shared" si="18"/>
        <v>480000</v>
      </c>
      <c r="F246" s="933">
        <f>$E$243/'Data Feeding'!$I$69</f>
        <v>8000</v>
      </c>
      <c r="G246" s="937">
        <f>+E246*'Data Feeding'!$H$70/100/12</f>
        <v>4800</v>
      </c>
      <c r="H246" s="938">
        <f>H245+1</f>
        <v>46</v>
      </c>
      <c r="I246" s="921">
        <f>I245-J245</f>
        <v>144000</v>
      </c>
      <c r="J246" s="933">
        <f>+J245</f>
        <v>8000</v>
      </c>
      <c r="K246" s="937">
        <f>I246*'Data Feeding'!$H$70/100/12</f>
        <v>1440</v>
      </c>
      <c r="L246" s="939"/>
      <c r="M246" s="866"/>
      <c r="N246" s="864"/>
      <c r="O246" s="90"/>
      <c r="P246" s="90"/>
      <c r="Q246" s="90"/>
      <c r="R246" s="90"/>
      <c r="S246" s="90"/>
      <c r="T246" s="90"/>
      <c r="U246" s="90"/>
      <c r="V246" s="90"/>
    </row>
    <row r="247" spans="1:22" ht="15.95" customHeight="1">
      <c r="A247" s="124"/>
      <c r="B247" s="378"/>
      <c r="C247" s="1333"/>
      <c r="D247" s="706">
        <f t="shared" si="17"/>
        <v>5</v>
      </c>
      <c r="E247" s="933">
        <f t="shared" si="18"/>
        <v>472000</v>
      </c>
      <c r="F247" s="933">
        <f>$E$243/'Data Feeding'!$I$69</f>
        <v>8000</v>
      </c>
      <c r="G247" s="937">
        <f>+E247*'Data Feeding'!$H$70/100/12</f>
        <v>4720</v>
      </c>
      <c r="H247" s="938">
        <f>H246+1</f>
        <v>47</v>
      </c>
      <c r="I247" s="921">
        <f>I246-J246</f>
        <v>136000</v>
      </c>
      <c r="J247" s="933">
        <f>+J246</f>
        <v>8000</v>
      </c>
      <c r="K247" s="937">
        <f>I247*'Data Feeding'!$H$70/100/12</f>
        <v>1360</v>
      </c>
      <c r="L247" s="939"/>
      <c r="M247" s="866"/>
      <c r="N247" s="864"/>
      <c r="O247" s="90"/>
      <c r="P247" s="90"/>
      <c r="Q247" s="90"/>
      <c r="R247" s="90"/>
      <c r="S247" s="90"/>
      <c r="T247" s="90"/>
      <c r="U247" s="90"/>
      <c r="V247" s="90"/>
    </row>
    <row r="248" spans="1:22" ht="15.95" customHeight="1">
      <c r="A248" s="124"/>
      <c r="B248" s="378"/>
      <c r="C248" s="1333"/>
      <c r="D248" s="706">
        <f t="shared" si="17"/>
        <v>6</v>
      </c>
      <c r="E248" s="933">
        <f t="shared" si="18"/>
        <v>464000</v>
      </c>
      <c r="F248" s="933">
        <f>$E$243/'Data Feeding'!$I$69</f>
        <v>8000</v>
      </c>
      <c r="G248" s="937">
        <f>+E248*'Data Feeding'!$H$70/100/12</f>
        <v>4640</v>
      </c>
      <c r="H248" s="938">
        <f>H247+1</f>
        <v>48</v>
      </c>
      <c r="I248" s="921">
        <f>I247-J247</f>
        <v>128000</v>
      </c>
      <c r="J248" s="933">
        <f>+J247</f>
        <v>8000</v>
      </c>
      <c r="K248" s="937">
        <f>I248*'Data Feeding'!$H$70/100/12</f>
        <v>1280</v>
      </c>
      <c r="L248" s="939"/>
      <c r="M248" s="866"/>
      <c r="N248" s="864"/>
      <c r="O248" s="90"/>
      <c r="P248" s="90"/>
      <c r="Q248" s="90"/>
      <c r="R248" s="90"/>
      <c r="S248" s="90"/>
      <c r="T248" s="90"/>
      <c r="U248" s="90"/>
      <c r="V248" s="90"/>
    </row>
    <row r="249" spans="1:22" ht="15.95" customHeight="1">
      <c r="A249" s="124"/>
      <c r="B249" s="378"/>
      <c r="C249" s="1333"/>
      <c r="D249" s="706">
        <f t="shared" si="17"/>
        <v>7</v>
      </c>
      <c r="E249" s="933">
        <f t="shared" si="18"/>
        <v>456000</v>
      </c>
      <c r="F249" s="933">
        <f>$E$243/'Data Feeding'!$I$69</f>
        <v>8000</v>
      </c>
      <c r="G249" s="937">
        <f>+E249*'Data Feeding'!$H$70/100/12</f>
        <v>4560</v>
      </c>
      <c r="H249" s="940" t="s">
        <v>148</v>
      </c>
      <c r="I249" s="941"/>
      <c r="J249" s="941">
        <f>SUM(J243:J248)+(SUM(F282:F288))</f>
        <v>96000</v>
      </c>
      <c r="K249" s="942">
        <f>SUM(K243:K248)+(SUM(G282:G288))</f>
        <v>20640</v>
      </c>
      <c r="L249" s="939"/>
      <c r="M249" s="866"/>
      <c r="N249" s="864"/>
      <c r="O249" s="90"/>
      <c r="P249" s="90"/>
      <c r="Q249" s="90"/>
      <c r="R249" s="90"/>
      <c r="S249" s="90"/>
      <c r="T249" s="90"/>
      <c r="U249" s="90"/>
      <c r="V249" s="90"/>
    </row>
    <row r="250" spans="1:22" ht="15.95" customHeight="1">
      <c r="A250" s="124"/>
      <c r="B250" s="378"/>
      <c r="C250" s="1333"/>
      <c r="D250" s="706">
        <f t="shared" si="17"/>
        <v>8</v>
      </c>
      <c r="E250" s="933">
        <f t="shared" si="18"/>
        <v>448000</v>
      </c>
      <c r="F250" s="933">
        <f>+F249</f>
        <v>8000</v>
      </c>
      <c r="G250" s="937">
        <f>+E250*'Data Feeding'!$H$70/100/12</f>
        <v>4480</v>
      </c>
      <c r="H250" s="938" t="s">
        <v>611</v>
      </c>
      <c r="I250" s="933">
        <f>I248-J248</f>
        <v>120000</v>
      </c>
      <c r="J250" s="933">
        <f>+J248</f>
        <v>8000</v>
      </c>
      <c r="K250" s="937">
        <f>I250*'Data Feeding'!$H$70/100/12</f>
        <v>1200</v>
      </c>
      <c r="L250" s="943"/>
      <c r="M250" s="866"/>
      <c r="N250" s="864"/>
      <c r="O250" s="90"/>
      <c r="P250" s="90"/>
      <c r="Q250" s="90"/>
      <c r="R250" s="90"/>
      <c r="S250" s="90"/>
      <c r="T250" s="90"/>
      <c r="U250" s="90"/>
      <c r="V250" s="90"/>
    </row>
    <row r="251" spans="1:22" ht="15.95" customHeight="1">
      <c r="A251" s="124"/>
      <c r="B251" s="378"/>
      <c r="C251" s="1333"/>
      <c r="D251" s="706">
        <f t="shared" si="17"/>
        <v>9</v>
      </c>
      <c r="E251" s="933">
        <f t="shared" si="18"/>
        <v>440000</v>
      </c>
      <c r="F251" s="933">
        <f>+F250</f>
        <v>8000</v>
      </c>
      <c r="G251" s="937">
        <f>+E251*'Data Feeding'!$H$70/100/12</f>
        <v>4400</v>
      </c>
      <c r="H251" s="938" t="s">
        <v>612</v>
      </c>
      <c r="I251" s="933">
        <f t="shared" ref="I251" si="19">I250-J250</f>
        <v>112000</v>
      </c>
      <c r="J251" s="933">
        <f t="shared" ref="J251:J261" si="20">+J250</f>
        <v>8000</v>
      </c>
      <c r="K251" s="937">
        <f>I251*'Data Feeding'!$H$70/100/12</f>
        <v>1120</v>
      </c>
      <c r="L251" s="939"/>
      <c r="M251" s="866"/>
      <c r="N251" s="864"/>
      <c r="O251" s="90"/>
      <c r="P251" s="90"/>
      <c r="Q251" s="90"/>
      <c r="R251" s="90"/>
      <c r="S251" s="90"/>
      <c r="T251" s="90"/>
      <c r="U251" s="90"/>
      <c r="V251" s="90"/>
    </row>
    <row r="252" spans="1:22" ht="15.95" customHeight="1">
      <c r="A252" s="124"/>
      <c r="B252" s="378"/>
      <c r="C252" s="709"/>
      <c r="D252" s="706">
        <f t="shared" si="17"/>
        <v>10</v>
      </c>
      <c r="E252" s="933">
        <f t="shared" si="18"/>
        <v>432000</v>
      </c>
      <c r="F252" s="933">
        <f>+F251</f>
        <v>8000</v>
      </c>
      <c r="G252" s="937">
        <f>+E252*'Data Feeding'!$H$70/100/12</f>
        <v>4320</v>
      </c>
      <c r="H252" s="938">
        <f>+H248+3</f>
        <v>51</v>
      </c>
      <c r="I252" s="933">
        <f ca="1">I251-J251+P2870</f>
        <v>104000</v>
      </c>
      <c r="J252" s="933">
        <f t="shared" si="20"/>
        <v>8000</v>
      </c>
      <c r="K252" s="937">
        <f ca="1">I252*'Data Feeding'!$H$70/100/12</f>
        <v>1040</v>
      </c>
      <c r="L252" s="944">
        <f>+'Data Feeding'!Q59</f>
        <v>0</v>
      </c>
      <c r="M252" s="866"/>
      <c r="N252" s="864"/>
      <c r="O252" s="90"/>
      <c r="P252" s="90"/>
      <c r="Q252" s="90"/>
      <c r="R252" s="90"/>
      <c r="S252" s="90"/>
      <c r="T252" s="90"/>
      <c r="U252" s="90"/>
      <c r="V252" s="90"/>
    </row>
    <row r="253" spans="1:22" ht="15.95" customHeight="1">
      <c r="A253" s="124"/>
      <c r="B253" s="378"/>
      <c r="C253" s="709"/>
      <c r="D253" s="706">
        <f t="shared" si="17"/>
        <v>11</v>
      </c>
      <c r="E253" s="933">
        <f t="shared" si="18"/>
        <v>424000</v>
      </c>
      <c r="F253" s="933">
        <f>+F252</f>
        <v>8000</v>
      </c>
      <c r="G253" s="937">
        <f>+E253*'Data Feeding'!$H$70/100/12</f>
        <v>4240</v>
      </c>
      <c r="H253" s="938">
        <f t="shared" ref="H253:H261" si="21">H252+1</f>
        <v>52</v>
      </c>
      <c r="I253" s="933">
        <f t="shared" ref="I253:I259" ca="1" si="22">I252-J252</f>
        <v>96000</v>
      </c>
      <c r="J253" s="933">
        <f t="shared" si="20"/>
        <v>8000</v>
      </c>
      <c r="K253" s="937">
        <f ca="1">I253*'Data Feeding'!$H$70/100/12</f>
        <v>960</v>
      </c>
      <c r="L253" s="945"/>
      <c r="M253" s="866"/>
      <c r="N253" s="864"/>
      <c r="O253" s="90"/>
      <c r="P253" s="90"/>
      <c r="Q253" s="90"/>
      <c r="R253" s="90"/>
      <c r="S253" s="90"/>
      <c r="T253" s="90"/>
      <c r="U253" s="90"/>
      <c r="V253" s="90"/>
    </row>
    <row r="254" spans="1:22" ht="15.95" customHeight="1">
      <c r="A254" s="124"/>
      <c r="B254" s="378"/>
      <c r="C254" s="709"/>
      <c r="D254" s="706">
        <f t="shared" si="17"/>
        <v>12</v>
      </c>
      <c r="E254" s="933">
        <f t="shared" si="18"/>
        <v>416000</v>
      </c>
      <c r="F254" s="933">
        <f>ROUND(+F253,0)</f>
        <v>8000</v>
      </c>
      <c r="G254" s="937">
        <f>+E254*'Data Feeding'!$H$70/100/12</f>
        <v>4160</v>
      </c>
      <c r="H254" s="938">
        <f t="shared" si="21"/>
        <v>53</v>
      </c>
      <c r="I254" s="933">
        <f t="shared" ca="1" si="22"/>
        <v>88000</v>
      </c>
      <c r="J254" s="933">
        <f t="shared" si="20"/>
        <v>8000</v>
      </c>
      <c r="K254" s="937">
        <f ca="1">I254*'Data Feeding'!$H$70/100/12</f>
        <v>880</v>
      </c>
      <c r="L254" s="945"/>
      <c r="M254" s="866"/>
      <c r="N254" s="864"/>
      <c r="O254" s="90"/>
      <c r="P254" s="90"/>
      <c r="Q254" s="90"/>
      <c r="R254" s="90"/>
      <c r="S254" s="90"/>
      <c r="T254" s="90"/>
      <c r="U254" s="90"/>
      <c r="V254" s="90"/>
    </row>
    <row r="255" spans="1:22" ht="15.95" customHeight="1">
      <c r="A255" s="124"/>
      <c r="B255" s="378"/>
      <c r="C255" s="713" t="s">
        <v>147</v>
      </c>
      <c r="D255" s="714"/>
      <c r="E255" s="946"/>
      <c r="F255" s="941">
        <f>SUM(F243:F254)</f>
        <v>72000</v>
      </c>
      <c r="G255" s="942">
        <f>SUM(G243:G254)</f>
        <v>54720</v>
      </c>
      <c r="H255" s="938">
        <f t="shared" si="21"/>
        <v>54</v>
      </c>
      <c r="I255" s="933">
        <f t="shared" ca="1" si="22"/>
        <v>80000</v>
      </c>
      <c r="J255" s="933">
        <f t="shared" si="20"/>
        <v>8000</v>
      </c>
      <c r="K255" s="937">
        <f ca="1">I255*'Data Feeding'!$H$70/100/12</f>
        <v>800</v>
      </c>
      <c r="L255" s="945"/>
      <c r="M255" s="866"/>
      <c r="N255" s="864"/>
      <c r="O255" s="90"/>
      <c r="P255" s="90"/>
      <c r="Q255" s="90"/>
      <c r="R255" s="90"/>
      <c r="S255" s="90"/>
      <c r="T255" s="90"/>
      <c r="U255" s="90"/>
      <c r="V255" s="90"/>
    </row>
    <row r="256" spans="1:22" ht="15.95" customHeight="1">
      <c r="A256" s="124"/>
      <c r="B256" s="378"/>
      <c r="C256" s="705" t="s">
        <v>64</v>
      </c>
      <c r="D256" s="706">
        <f>D254+1</f>
        <v>13</v>
      </c>
      <c r="E256" s="933">
        <f>E254-F254</f>
        <v>408000</v>
      </c>
      <c r="F256" s="933">
        <f>+F254</f>
        <v>8000</v>
      </c>
      <c r="G256" s="937">
        <f>+E256*'Data Feeding'!$H$70/100/12</f>
        <v>4080</v>
      </c>
      <c r="H256" s="938">
        <f t="shared" si="21"/>
        <v>55</v>
      </c>
      <c r="I256" s="933">
        <f t="shared" ca="1" si="22"/>
        <v>72000</v>
      </c>
      <c r="J256" s="933">
        <f t="shared" si="20"/>
        <v>8000</v>
      </c>
      <c r="K256" s="937">
        <f ca="1">I256*'Data Feeding'!$H$70/100/12</f>
        <v>720</v>
      </c>
      <c r="L256" s="945"/>
      <c r="M256" s="866"/>
      <c r="N256" s="864"/>
      <c r="O256" s="90"/>
      <c r="P256" s="90"/>
      <c r="Q256" s="90"/>
      <c r="R256" s="90"/>
      <c r="S256" s="90"/>
      <c r="T256" s="90"/>
      <c r="U256" s="90"/>
      <c r="V256" s="90"/>
    </row>
    <row r="257" spans="1:22" ht="15.95" customHeight="1">
      <c r="A257" s="124"/>
      <c r="B257" s="378"/>
      <c r="C257" s="708" t="s">
        <v>146</v>
      </c>
      <c r="D257" s="706">
        <f t="shared" ref="D257:D267" si="23">D256+1</f>
        <v>14</v>
      </c>
      <c r="E257" s="933">
        <f t="shared" ref="E257:E267" si="24">E256-F256</f>
        <v>400000</v>
      </c>
      <c r="F257" s="933">
        <f>+F256</f>
        <v>8000</v>
      </c>
      <c r="G257" s="937">
        <f>+E257*'Data Feeding'!$H$70/100/12</f>
        <v>4000</v>
      </c>
      <c r="H257" s="938">
        <f t="shared" si="21"/>
        <v>56</v>
      </c>
      <c r="I257" s="933">
        <f t="shared" ca="1" si="22"/>
        <v>64000</v>
      </c>
      <c r="J257" s="933">
        <f t="shared" si="20"/>
        <v>8000</v>
      </c>
      <c r="K257" s="937">
        <f ca="1">I257*'Data Feeding'!$H$70/100/12</f>
        <v>640</v>
      </c>
      <c r="L257" s="939"/>
      <c r="M257" s="866"/>
      <c r="N257" s="864"/>
      <c r="O257" s="90"/>
      <c r="P257" s="90"/>
      <c r="Q257" s="90"/>
      <c r="R257" s="90"/>
      <c r="S257" s="90"/>
      <c r="T257" s="90"/>
      <c r="U257" s="90"/>
      <c r="V257" s="90"/>
    </row>
    <row r="258" spans="1:22" ht="15.95" customHeight="1">
      <c r="A258" s="124"/>
      <c r="B258" s="378"/>
      <c r="C258" s="709"/>
      <c r="D258" s="706">
        <f t="shared" si="23"/>
        <v>15</v>
      </c>
      <c r="E258" s="933">
        <f t="shared" si="24"/>
        <v>392000</v>
      </c>
      <c r="F258" s="933">
        <f>+F257</f>
        <v>8000</v>
      </c>
      <c r="G258" s="937">
        <f>+E258*'Data Feeding'!$H$70/100/12</f>
        <v>3920</v>
      </c>
      <c r="H258" s="938">
        <f t="shared" si="21"/>
        <v>57</v>
      </c>
      <c r="I258" s="933">
        <f t="shared" ca="1" si="22"/>
        <v>56000</v>
      </c>
      <c r="J258" s="933">
        <f t="shared" si="20"/>
        <v>8000</v>
      </c>
      <c r="K258" s="937">
        <f ca="1">I258*'Data Feeding'!$H$70/100/12</f>
        <v>560</v>
      </c>
      <c r="L258" s="939"/>
      <c r="M258" s="866"/>
      <c r="N258" s="864"/>
      <c r="O258" s="90"/>
      <c r="P258" s="90"/>
      <c r="Q258" s="90"/>
      <c r="R258" s="90"/>
      <c r="S258" s="90"/>
      <c r="T258" s="90"/>
      <c r="U258" s="90"/>
      <c r="V258" s="90"/>
    </row>
    <row r="259" spans="1:22" ht="15.95" customHeight="1">
      <c r="A259" s="124"/>
      <c r="B259" s="378"/>
      <c r="C259" s="710"/>
      <c r="D259" s="706">
        <f t="shared" si="23"/>
        <v>16</v>
      </c>
      <c r="E259" s="933">
        <f t="shared" si="24"/>
        <v>384000</v>
      </c>
      <c r="F259" s="933">
        <f>+F258</f>
        <v>8000</v>
      </c>
      <c r="G259" s="937">
        <f>+E259*'Data Feeding'!$H$70/100/12</f>
        <v>3840</v>
      </c>
      <c r="H259" s="938">
        <f t="shared" si="21"/>
        <v>58</v>
      </c>
      <c r="I259" s="933">
        <f t="shared" ca="1" si="22"/>
        <v>48000</v>
      </c>
      <c r="J259" s="933">
        <f t="shared" si="20"/>
        <v>8000</v>
      </c>
      <c r="K259" s="937">
        <f ca="1">I259*'Data Feeding'!$H$70/100/12</f>
        <v>480</v>
      </c>
      <c r="L259" s="939"/>
      <c r="M259" s="866"/>
      <c r="N259" s="864"/>
      <c r="O259" s="90"/>
      <c r="P259" s="90"/>
      <c r="Q259" s="90"/>
      <c r="R259" s="90"/>
      <c r="S259" s="90"/>
      <c r="T259" s="90"/>
      <c r="U259" s="90"/>
      <c r="V259" s="90"/>
    </row>
    <row r="260" spans="1:22" ht="15.95" customHeight="1">
      <c r="A260" s="124"/>
      <c r="B260" s="378"/>
      <c r="C260" s="715"/>
      <c r="D260" s="706">
        <f t="shared" si="23"/>
        <v>17</v>
      </c>
      <c r="E260" s="933">
        <f t="shared" si="24"/>
        <v>376000</v>
      </c>
      <c r="F260" s="933">
        <f>+F259</f>
        <v>8000</v>
      </c>
      <c r="G260" s="937">
        <f>+E260*'Data Feeding'!$H$70/100/12</f>
        <v>3760</v>
      </c>
      <c r="H260" s="938">
        <f t="shared" si="21"/>
        <v>59</v>
      </c>
      <c r="I260" s="933">
        <f ca="1">I259-J259-P2870</f>
        <v>40000</v>
      </c>
      <c r="J260" s="933">
        <f t="shared" si="20"/>
        <v>8000</v>
      </c>
      <c r="K260" s="937">
        <f ca="1">I260*'Data Feeding'!$H$70/100/12</f>
        <v>400</v>
      </c>
      <c r="L260" s="939"/>
      <c r="M260" s="866"/>
      <c r="N260" s="864"/>
      <c r="O260" s="90"/>
      <c r="P260" s="90"/>
      <c r="Q260" s="90"/>
      <c r="R260" s="90"/>
      <c r="S260" s="90"/>
      <c r="T260" s="90"/>
      <c r="U260" s="90"/>
      <c r="V260" s="90"/>
    </row>
    <row r="261" spans="1:22" ht="15.95" customHeight="1">
      <c r="A261" s="124"/>
      <c r="B261" s="378"/>
      <c r="C261" s="715"/>
      <c r="D261" s="706">
        <f t="shared" si="23"/>
        <v>18</v>
      </c>
      <c r="E261" s="933">
        <f t="shared" si="24"/>
        <v>368000</v>
      </c>
      <c r="F261" s="933">
        <f>+F260</f>
        <v>8000</v>
      </c>
      <c r="G261" s="937">
        <f>+E261*'Data Feeding'!$H$70/100/12</f>
        <v>3680</v>
      </c>
      <c r="H261" s="938">
        <f t="shared" si="21"/>
        <v>60</v>
      </c>
      <c r="I261" s="933">
        <f ca="1">I260-J260</f>
        <v>32000</v>
      </c>
      <c r="J261" s="933">
        <f t="shared" si="20"/>
        <v>8000</v>
      </c>
      <c r="K261" s="937">
        <f ca="1">I261*'Data Feeding'!$H$70/100/12</f>
        <v>320</v>
      </c>
      <c r="L261" s="939"/>
      <c r="M261" s="866"/>
      <c r="N261" s="864"/>
      <c r="O261" s="90"/>
      <c r="P261" s="90"/>
      <c r="Q261" s="90"/>
      <c r="R261" s="90"/>
      <c r="S261" s="90"/>
      <c r="T261" s="90"/>
      <c r="U261" s="90"/>
      <c r="V261" s="90"/>
    </row>
    <row r="262" spans="1:22" ht="15.95" customHeight="1">
      <c r="A262" s="124"/>
      <c r="B262" s="378"/>
      <c r="C262" s="715"/>
      <c r="D262" s="706">
        <f t="shared" si="23"/>
        <v>19</v>
      </c>
      <c r="E262" s="933">
        <f t="shared" si="24"/>
        <v>360000</v>
      </c>
      <c r="F262" s="933">
        <f t="shared" ref="F262:F267" si="25">F256</f>
        <v>8000</v>
      </c>
      <c r="G262" s="937">
        <f>+E262*'Data Feeding'!$H$70/100/12</f>
        <v>3600</v>
      </c>
      <c r="H262" s="940" t="s">
        <v>148</v>
      </c>
      <c r="I262" s="941"/>
      <c r="J262" s="941">
        <f>SUM(J250:J261)</f>
        <v>96000</v>
      </c>
      <c r="K262" s="942">
        <f ca="1">SUM(K250:K261)</f>
        <v>9120</v>
      </c>
      <c r="L262" s="939"/>
      <c r="M262" s="866"/>
      <c r="N262" s="864"/>
      <c r="O262" s="90"/>
      <c r="P262" s="90"/>
      <c r="Q262" s="90"/>
      <c r="R262" s="90"/>
      <c r="S262" s="90"/>
      <c r="T262" s="90"/>
      <c r="U262" s="90"/>
      <c r="V262" s="90"/>
    </row>
    <row r="263" spans="1:22" ht="15.95" customHeight="1">
      <c r="A263" s="124"/>
      <c r="B263" s="378"/>
      <c r="C263" s="715"/>
      <c r="D263" s="706">
        <f t="shared" si="23"/>
        <v>20</v>
      </c>
      <c r="E263" s="933">
        <f t="shared" si="24"/>
        <v>352000</v>
      </c>
      <c r="F263" s="933">
        <f t="shared" si="25"/>
        <v>8000</v>
      </c>
      <c r="G263" s="937">
        <f>+E263*'Data Feeding'!$H$70/100/12</f>
        <v>3520</v>
      </c>
      <c r="H263" s="938" t="s">
        <v>607</v>
      </c>
      <c r="I263" s="933">
        <f ca="1">I261-J261</f>
        <v>24000</v>
      </c>
      <c r="J263" s="933">
        <f>+J261</f>
        <v>8000</v>
      </c>
      <c r="K263" s="937">
        <f ca="1">I263*'Data Feeding'!$H$70/100/12</f>
        <v>240</v>
      </c>
      <c r="L263" s="943"/>
      <c r="M263" s="866"/>
      <c r="N263" s="864"/>
      <c r="O263" s="90"/>
      <c r="P263" s="90"/>
      <c r="Q263" s="90"/>
      <c r="R263" s="90"/>
      <c r="S263" s="90"/>
      <c r="T263" s="90"/>
      <c r="U263" s="90"/>
      <c r="V263" s="90"/>
    </row>
    <row r="264" spans="1:22" ht="15.95" customHeight="1">
      <c r="A264" s="124"/>
      <c r="B264" s="378"/>
      <c r="C264" s="709"/>
      <c r="D264" s="706">
        <f t="shared" si="23"/>
        <v>21</v>
      </c>
      <c r="E264" s="933">
        <f t="shared" si="24"/>
        <v>344000</v>
      </c>
      <c r="F264" s="933">
        <f t="shared" si="25"/>
        <v>8000</v>
      </c>
      <c r="G264" s="937">
        <f>+E264*'Data Feeding'!$H$70/100/12</f>
        <v>3440</v>
      </c>
      <c r="H264" s="938" t="s">
        <v>608</v>
      </c>
      <c r="I264" s="933">
        <f t="shared" ref="I264:I274" ca="1" si="26">I263-J263</f>
        <v>16000</v>
      </c>
      <c r="J264" s="933">
        <f t="shared" ref="J264:J270" si="27">+J263</f>
        <v>8000</v>
      </c>
      <c r="K264" s="937">
        <f ca="1">I264*'Data Feeding'!$H$70/100/12</f>
        <v>160</v>
      </c>
      <c r="L264" s="939"/>
      <c r="M264" s="866"/>
      <c r="N264" s="864"/>
      <c r="O264" s="90"/>
      <c r="P264" s="90"/>
      <c r="Q264" s="90"/>
      <c r="R264" s="90"/>
      <c r="S264" s="90"/>
      <c r="T264" s="90"/>
      <c r="U264" s="90"/>
      <c r="V264" s="90"/>
    </row>
    <row r="265" spans="1:22" ht="15.95" customHeight="1">
      <c r="A265" s="124"/>
      <c r="B265" s="378"/>
      <c r="C265" s="709"/>
      <c r="D265" s="706">
        <f t="shared" si="23"/>
        <v>22</v>
      </c>
      <c r="E265" s="933">
        <f t="shared" si="24"/>
        <v>336000</v>
      </c>
      <c r="F265" s="933">
        <f t="shared" si="25"/>
        <v>8000</v>
      </c>
      <c r="G265" s="937">
        <f>+E265*'Data Feeding'!$H$70/100/12</f>
        <v>3360</v>
      </c>
      <c r="H265" s="938">
        <f>+H261+3</f>
        <v>63</v>
      </c>
      <c r="I265" s="933">
        <f t="shared" ca="1" si="26"/>
        <v>8000</v>
      </c>
      <c r="J265" s="933">
        <f ca="1">+I265</f>
        <v>8000</v>
      </c>
      <c r="K265" s="937">
        <f ca="1">I265*'Data Feeding'!$H$70/100/12</f>
        <v>80</v>
      </c>
      <c r="L265" s="944">
        <f>+'Data Feeding'!Q60</f>
        <v>0</v>
      </c>
      <c r="M265" s="866"/>
      <c r="N265" s="864"/>
      <c r="O265" s="90"/>
      <c r="P265" s="90"/>
      <c r="Q265" s="90"/>
      <c r="R265" s="90"/>
      <c r="S265" s="90"/>
      <c r="T265" s="90"/>
      <c r="U265" s="90"/>
      <c r="V265" s="90"/>
    </row>
    <row r="266" spans="1:22" ht="15.95" customHeight="1">
      <c r="A266" s="124"/>
      <c r="B266" s="378"/>
      <c r="C266" s="709"/>
      <c r="D266" s="706">
        <f t="shared" si="23"/>
        <v>23</v>
      </c>
      <c r="E266" s="933">
        <f t="shared" si="24"/>
        <v>328000</v>
      </c>
      <c r="F266" s="933">
        <f t="shared" si="25"/>
        <v>8000</v>
      </c>
      <c r="G266" s="937">
        <f>+E266*'Data Feeding'!$H$70/100/12</f>
        <v>3280</v>
      </c>
      <c r="H266" s="938">
        <f t="shared" ref="H266:H274" si="28">H265+1</f>
        <v>64</v>
      </c>
      <c r="I266" s="933">
        <f t="shared" ca="1" si="26"/>
        <v>0</v>
      </c>
      <c r="J266" s="933"/>
      <c r="K266" s="937">
        <f ca="1">I266*'Data Feeding'!$H$70/100/12</f>
        <v>0</v>
      </c>
      <c r="L266" s="945"/>
      <c r="M266" s="866"/>
      <c r="N266" s="864"/>
      <c r="O266" s="90"/>
      <c r="P266" s="90"/>
      <c r="Q266" s="90"/>
      <c r="R266" s="90"/>
      <c r="S266" s="90"/>
      <c r="T266" s="90"/>
      <c r="U266" s="90"/>
      <c r="V266" s="90"/>
    </row>
    <row r="267" spans="1:22" ht="15.95" customHeight="1">
      <c r="A267" s="124"/>
      <c r="B267" s="378"/>
      <c r="C267" s="709"/>
      <c r="D267" s="706">
        <f t="shared" si="23"/>
        <v>24</v>
      </c>
      <c r="E267" s="933">
        <f t="shared" si="24"/>
        <v>320000</v>
      </c>
      <c r="F267" s="933">
        <f t="shared" si="25"/>
        <v>8000</v>
      </c>
      <c r="G267" s="937">
        <f>+E267*'Data Feeding'!$H$70/100/12</f>
        <v>3200</v>
      </c>
      <c r="H267" s="938">
        <f t="shared" si="28"/>
        <v>65</v>
      </c>
      <c r="I267" s="933">
        <f t="shared" ca="1" si="26"/>
        <v>0</v>
      </c>
      <c r="J267" s="933">
        <f t="shared" si="27"/>
        <v>0</v>
      </c>
      <c r="K267" s="937">
        <f ca="1">I267*'Data Feeding'!$H$70/100/12</f>
        <v>0</v>
      </c>
      <c r="L267" s="945"/>
      <c r="M267" s="866"/>
      <c r="N267" s="864"/>
      <c r="O267" s="90"/>
      <c r="P267" s="90"/>
      <c r="Q267" s="90"/>
      <c r="R267" s="90"/>
      <c r="S267" s="90"/>
      <c r="T267" s="90"/>
      <c r="U267" s="90"/>
      <c r="V267" s="90"/>
    </row>
    <row r="268" spans="1:22" ht="15.95" customHeight="1">
      <c r="A268" s="124"/>
      <c r="B268" s="378"/>
      <c r="C268" s="706" t="s">
        <v>147</v>
      </c>
      <c r="D268" s="714"/>
      <c r="E268" s="946"/>
      <c r="F268" s="941">
        <f>SUM(F256:F267)</f>
        <v>96000</v>
      </c>
      <c r="G268" s="942">
        <f>SUM(G256:G267)</f>
        <v>43680</v>
      </c>
      <c r="H268" s="938">
        <f t="shared" si="28"/>
        <v>66</v>
      </c>
      <c r="I268" s="933">
        <f t="shared" ca="1" si="26"/>
        <v>0</v>
      </c>
      <c r="J268" s="933">
        <f t="shared" si="27"/>
        <v>0</v>
      </c>
      <c r="K268" s="937">
        <f ca="1">I268*'Data Feeding'!$H$70/100/12</f>
        <v>0</v>
      </c>
      <c r="L268" s="945"/>
      <c r="M268" s="866"/>
      <c r="N268" s="864"/>
      <c r="O268" s="90"/>
      <c r="P268" s="90"/>
      <c r="Q268" s="90"/>
      <c r="R268" s="90"/>
      <c r="S268" s="90"/>
      <c r="T268" s="90"/>
      <c r="U268" s="90"/>
      <c r="V268" s="90"/>
    </row>
    <row r="269" spans="1:22" ht="15.95" customHeight="1">
      <c r="A269" s="124"/>
      <c r="B269" s="378"/>
      <c r="C269" s="705" t="s">
        <v>65</v>
      </c>
      <c r="D269" s="706">
        <f>D267+1</f>
        <v>25</v>
      </c>
      <c r="E269" s="933">
        <f>E267-F267</f>
        <v>312000</v>
      </c>
      <c r="F269" s="933">
        <f>+F267</f>
        <v>8000</v>
      </c>
      <c r="G269" s="937">
        <f>+E269*'Data Feeding'!$H$70/100/12</f>
        <v>3120</v>
      </c>
      <c r="H269" s="938">
        <f t="shared" si="28"/>
        <v>67</v>
      </c>
      <c r="I269" s="933">
        <f t="shared" ca="1" si="26"/>
        <v>0</v>
      </c>
      <c r="J269" s="933">
        <f t="shared" si="27"/>
        <v>0</v>
      </c>
      <c r="K269" s="937">
        <f ca="1">I269*'Data Feeding'!$H$70/100/12</f>
        <v>0</v>
      </c>
      <c r="L269" s="945"/>
      <c r="M269" s="866"/>
      <c r="N269" s="864"/>
      <c r="O269" s="90"/>
      <c r="P269" s="90"/>
      <c r="Q269" s="90"/>
      <c r="R269" s="90"/>
      <c r="S269" s="90"/>
      <c r="T269" s="90"/>
      <c r="U269" s="90"/>
      <c r="V269" s="90"/>
    </row>
    <row r="270" spans="1:22" ht="15.95" customHeight="1">
      <c r="A270" s="124"/>
      <c r="B270" s="378"/>
      <c r="C270" s="708" t="s">
        <v>146</v>
      </c>
      <c r="D270" s="706">
        <f t="shared" ref="D270:D280" si="29">D269+1</f>
        <v>26</v>
      </c>
      <c r="E270" s="933">
        <f t="shared" ref="E270:E280" si="30">E269-F269</f>
        <v>304000</v>
      </c>
      <c r="F270" s="933">
        <f t="shared" ref="F270:F280" si="31">+F269</f>
        <v>8000</v>
      </c>
      <c r="G270" s="937">
        <f>+E270*'Data Feeding'!$H$70/100/12</f>
        <v>3040</v>
      </c>
      <c r="H270" s="938">
        <f t="shared" si="28"/>
        <v>68</v>
      </c>
      <c r="I270" s="933">
        <f t="shared" ca="1" si="26"/>
        <v>0</v>
      </c>
      <c r="J270" s="933">
        <f t="shared" si="27"/>
        <v>0</v>
      </c>
      <c r="K270" s="937">
        <f ca="1">I270*'Data Feeding'!$H$70/100/12</f>
        <v>0</v>
      </c>
      <c r="L270" s="939"/>
      <c r="M270" s="866"/>
      <c r="N270" s="864"/>
      <c r="O270" s="90"/>
      <c r="P270" s="90"/>
      <c r="Q270" s="90"/>
      <c r="R270" s="90"/>
      <c r="S270" s="90"/>
      <c r="T270" s="90"/>
      <c r="U270" s="90"/>
      <c r="V270" s="90"/>
    </row>
    <row r="271" spans="1:22" ht="15.95" customHeight="1">
      <c r="A271" s="124"/>
      <c r="B271" s="378"/>
      <c r="C271" s="709"/>
      <c r="D271" s="706">
        <f t="shared" si="29"/>
        <v>27</v>
      </c>
      <c r="E271" s="933">
        <f t="shared" si="30"/>
        <v>296000</v>
      </c>
      <c r="F271" s="933">
        <f t="shared" si="31"/>
        <v>8000</v>
      </c>
      <c r="G271" s="937">
        <f>+E271*'Data Feeding'!$H$70/100/12</f>
        <v>2960</v>
      </c>
      <c r="H271" s="938">
        <f t="shared" si="28"/>
        <v>69</v>
      </c>
      <c r="I271" s="933">
        <f t="shared" ca="1" si="26"/>
        <v>0</v>
      </c>
      <c r="J271" s="933">
        <f>+J270</f>
        <v>0</v>
      </c>
      <c r="K271" s="937">
        <f ca="1">I271*'Data Feeding'!$H$70/100/12</f>
        <v>0</v>
      </c>
      <c r="L271" s="939"/>
      <c r="M271" s="866"/>
      <c r="N271" s="864"/>
      <c r="O271" s="90"/>
      <c r="P271" s="90"/>
      <c r="Q271" s="90"/>
      <c r="R271" s="90"/>
      <c r="S271" s="90"/>
      <c r="T271" s="90"/>
      <c r="U271" s="90"/>
      <c r="V271" s="90"/>
    </row>
    <row r="272" spans="1:22" ht="15.95" customHeight="1">
      <c r="A272" s="124"/>
      <c r="B272" s="378"/>
      <c r="C272" s="710"/>
      <c r="D272" s="706">
        <f t="shared" si="29"/>
        <v>28</v>
      </c>
      <c r="E272" s="933">
        <f t="shared" si="30"/>
        <v>288000</v>
      </c>
      <c r="F272" s="933">
        <f t="shared" si="31"/>
        <v>8000</v>
      </c>
      <c r="G272" s="937">
        <f>+E272*'Data Feeding'!$H$70/100/12</f>
        <v>2880</v>
      </c>
      <c r="H272" s="938">
        <f t="shared" si="28"/>
        <v>70</v>
      </c>
      <c r="I272" s="933">
        <f t="shared" ca="1" si="26"/>
        <v>0</v>
      </c>
      <c r="J272" s="933">
        <f>+J271</f>
        <v>0</v>
      </c>
      <c r="K272" s="937">
        <f ca="1">I272*'Data Feeding'!$H$70/100/12</f>
        <v>0</v>
      </c>
      <c r="L272" s="939"/>
      <c r="M272" s="866"/>
      <c r="N272" s="864"/>
      <c r="O272" s="90"/>
      <c r="P272" s="90"/>
      <c r="Q272" s="90"/>
      <c r="R272" s="90"/>
      <c r="S272" s="90"/>
      <c r="T272" s="90"/>
      <c r="U272" s="90"/>
      <c r="V272" s="90"/>
    </row>
    <row r="273" spans="1:22" ht="15.95" customHeight="1">
      <c r="A273" s="124"/>
      <c r="B273" s="378"/>
      <c r="C273" s="715"/>
      <c r="D273" s="706">
        <f t="shared" si="29"/>
        <v>29</v>
      </c>
      <c r="E273" s="933">
        <f t="shared" si="30"/>
        <v>280000</v>
      </c>
      <c r="F273" s="933">
        <f t="shared" si="31"/>
        <v>8000</v>
      </c>
      <c r="G273" s="937">
        <f>+E273*'Data Feeding'!$H$70/100/12</f>
        <v>2800</v>
      </c>
      <c r="H273" s="938">
        <f t="shared" si="28"/>
        <v>71</v>
      </c>
      <c r="I273" s="933">
        <f t="shared" ca="1" si="26"/>
        <v>0</v>
      </c>
      <c r="J273" s="933">
        <f>+J272</f>
        <v>0</v>
      </c>
      <c r="K273" s="937">
        <f ca="1">I273*'Data Feeding'!$H$70/100/12</f>
        <v>0</v>
      </c>
      <c r="L273" s="939"/>
      <c r="M273" s="866"/>
      <c r="N273" s="864"/>
      <c r="O273" s="90"/>
      <c r="P273" s="90"/>
      <c r="Q273" s="90"/>
      <c r="R273" s="90"/>
      <c r="S273" s="90"/>
      <c r="T273" s="90"/>
      <c r="U273" s="90"/>
      <c r="V273" s="90"/>
    </row>
    <row r="274" spans="1:22" ht="15.95" customHeight="1">
      <c r="A274" s="124"/>
      <c r="B274" s="378"/>
      <c r="C274" s="715"/>
      <c r="D274" s="706">
        <f t="shared" si="29"/>
        <v>30</v>
      </c>
      <c r="E274" s="933">
        <f t="shared" si="30"/>
        <v>272000</v>
      </c>
      <c r="F274" s="933">
        <f t="shared" si="31"/>
        <v>8000</v>
      </c>
      <c r="G274" s="937">
        <f>+E274*'Data Feeding'!$H$70/100/12</f>
        <v>2720</v>
      </c>
      <c r="H274" s="938">
        <f t="shared" si="28"/>
        <v>72</v>
      </c>
      <c r="I274" s="933">
        <f t="shared" ca="1" si="26"/>
        <v>0</v>
      </c>
      <c r="J274" s="933">
        <f>+J273</f>
        <v>0</v>
      </c>
      <c r="K274" s="937">
        <f ca="1">I274*'Data Feeding'!$H$70/100/12</f>
        <v>0</v>
      </c>
      <c r="L274" s="939"/>
      <c r="M274" s="866"/>
      <c r="N274" s="864"/>
      <c r="O274" s="90"/>
      <c r="P274" s="90"/>
      <c r="Q274" s="90"/>
      <c r="R274" s="90"/>
      <c r="S274" s="90"/>
      <c r="T274" s="90"/>
      <c r="U274" s="90"/>
      <c r="V274" s="90"/>
    </row>
    <row r="275" spans="1:22" ht="15.95" customHeight="1">
      <c r="A275" s="124"/>
      <c r="B275" s="378"/>
      <c r="C275" s="715"/>
      <c r="D275" s="706">
        <f t="shared" si="29"/>
        <v>31</v>
      </c>
      <c r="E275" s="933">
        <f t="shared" si="30"/>
        <v>264000</v>
      </c>
      <c r="F275" s="933">
        <f t="shared" si="31"/>
        <v>8000</v>
      </c>
      <c r="G275" s="937">
        <f>+E275*'Data Feeding'!$H$70/100/12</f>
        <v>2640</v>
      </c>
      <c r="H275" s="940" t="s">
        <v>148</v>
      </c>
      <c r="I275" s="941"/>
      <c r="J275" s="941">
        <f ca="1">SUM(J263:J274)</f>
        <v>24000</v>
      </c>
      <c r="K275" s="942">
        <f ca="1">SUM(K263:K274)</f>
        <v>480</v>
      </c>
      <c r="L275" s="939"/>
      <c r="M275" s="866"/>
      <c r="N275" s="864"/>
      <c r="O275" s="90"/>
      <c r="P275" s="90"/>
      <c r="Q275" s="90"/>
      <c r="R275" s="90"/>
      <c r="S275" s="90"/>
      <c r="T275" s="90"/>
      <c r="U275" s="90"/>
      <c r="V275" s="90"/>
    </row>
    <row r="276" spans="1:22" ht="15.95" customHeight="1">
      <c r="A276" s="124"/>
      <c r="B276" s="378"/>
      <c r="C276" s="715"/>
      <c r="D276" s="706">
        <f t="shared" si="29"/>
        <v>32</v>
      </c>
      <c r="E276" s="933">
        <f t="shared" si="30"/>
        <v>256000</v>
      </c>
      <c r="F276" s="933">
        <f t="shared" si="31"/>
        <v>8000</v>
      </c>
      <c r="G276" s="937">
        <f>+E276*'Data Feeding'!$H$70/100/12</f>
        <v>2560</v>
      </c>
      <c r="H276" s="938" t="s">
        <v>609</v>
      </c>
      <c r="I276" s="933">
        <f ca="1">I274-J274</f>
        <v>0</v>
      </c>
      <c r="J276" s="933">
        <f>+J274</f>
        <v>0</v>
      </c>
      <c r="K276" s="937">
        <f ca="1">I276*'Data Feeding'!$H$70/100/12</f>
        <v>0</v>
      </c>
      <c r="L276" s="947"/>
      <c r="M276" s="866"/>
      <c r="N276" s="864"/>
      <c r="O276" s="90"/>
      <c r="P276" s="90"/>
      <c r="Q276" s="90"/>
      <c r="R276" s="90"/>
      <c r="S276" s="90"/>
      <c r="T276" s="90"/>
      <c r="U276" s="90"/>
      <c r="V276" s="90"/>
    </row>
    <row r="277" spans="1:22" ht="15.95" customHeight="1">
      <c r="A277" s="124"/>
      <c r="B277" s="378"/>
      <c r="C277" s="709"/>
      <c r="D277" s="706">
        <f t="shared" si="29"/>
        <v>33</v>
      </c>
      <c r="E277" s="933">
        <f t="shared" si="30"/>
        <v>248000</v>
      </c>
      <c r="F277" s="933">
        <f t="shared" si="31"/>
        <v>8000</v>
      </c>
      <c r="G277" s="937">
        <f>+E277*'Data Feeding'!$H$70/100/12</f>
        <v>2480</v>
      </c>
      <c r="H277" s="938" t="s">
        <v>610</v>
      </c>
      <c r="I277" s="933">
        <f t="shared" ref="I277:I287" ca="1" si="32">I276-J276</f>
        <v>0</v>
      </c>
      <c r="J277" s="933">
        <f>+J276</f>
        <v>0</v>
      </c>
      <c r="K277" s="937">
        <f ca="1">I277*'Data Feeding'!$H$70/100/12</f>
        <v>0</v>
      </c>
      <c r="L277" s="944"/>
      <c r="M277" s="866"/>
      <c r="N277" s="864"/>
      <c r="O277" s="90"/>
      <c r="P277" s="90"/>
      <c r="Q277" s="90"/>
      <c r="R277" s="90"/>
      <c r="S277" s="90"/>
      <c r="T277" s="90"/>
      <c r="U277" s="90"/>
      <c r="V277" s="90"/>
    </row>
    <row r="278" spans="1:22" ht="15.95" customHeight="1">
      <c r="A278" s="124"/>
      <c r="B278" s="378"/>
      <c r="C278" s="709"/>
      <c r="D278" s="706">
        <f t="shared" si="29"/>
        <v>34</v>
      </c>
      <c r="E278" s="933">
        <f t="shared" si="30"/>
        <v>240000</v>
      </c>
      <c r="F278" s="933">
        <f t="shared" si="31"/>
        <v>8000</v>
      </c>
      <c r="G278" s="937">
        <f>+E278*'Data Feeding'!$H$70/100/12</f>
        <v>2400</v>
      </c>
      <c r="H278" s="938">
        <f>+H274+3</f>
        <v>75</v>
      </c>
      <c r="I278" s="933">
        <f t="shared" ca="1" si="32"/>
        <v>0</v>
      </c>
      <c r="J278" s="933">
        <f>+J277</f>
        <v>0</v>
      </c>
      <c r="K278" s="937">
        <f ca="1">I278*'Data Feeding'!$H$70/100/12</f>
        <v>0</v>
      </c>
      <c r="L278" s="944"/>
      <c r="M278" s="866"/>
      <c r="N278" s="864"/>
      <c r="O278" s="90"/>
      <c r="P278" s="90"/>
      <c r="Q278" s="90"/>
      <c r="R278" s="90"/>
      <c r="S278" s="90"/>
      <c r="T278" s="90"/>
      <c r="U278" s="90"/>
      <c r="V278" s="90"/>
    </row>
    <row r="279" spans="1:22" ht="15.95" customHeight="1">
      <c r="A279" s="124"/>
      <c r="B279" s="378"/>
      <c r="C279" s="709"/>
      <c r="D279" s="706">
        <f t="shared" si="29"/>
        <v>35</v>
      </c>
      <c r="E279" s="933">
        <f t="shared" si="30"/>
        <v>232000</v>
      </c>
      <c r="F279" s="933">
        <f t="shared" si="31"/>
        <v>8000</v>
      </c>
      <c r="G279" s="937">
        <f>+E279*'Data Feeding'!$H$70/100/12</f>
        <v>2320</v>
      </c>
      <c r="H279" s="938">
        <f t="shared" ref="H279:H287" si="33">+H278+1</f>
        <v>76</v>
      </c>
      <c r="I279" s="933">
        <f t="shared" ca="1" si="32"/>
        <v>0</v>
      </c>
      <c r="J279" s="933"/>
      <c r="K279" s="937">
        <f ca="1">I279*'Data Feeding'!$H$70/100/12</f>
        <v>0</v>
      </c>
      <c r="L279" s="944"/>
      <c r="M279" s="866"/>
      <c r="N279" s="864"/>
      <c r="O279" s="90"/>
      <c r="P279" s="90"/>
      <c r="Q279" s="90"/>
      <c r="R279" s="90"/>
      <c r="S279" s="90"/>
      <c r="T279" s="90"/>
      <c r="U279" s="90"/>
      <c r="V279" s="90"/>
    </row>
    <row r="280" spans="1:22" ht="15.95" customHeight="1">
      <c r="A280" s="124"/>
      <c r="B280" s="378"/>
      <c r="C280" s="709"/>
      <c r="D280" s="706">
        <f t="shared" si="29"/>
        <v>36</v>
      </c>
      <c r="E280" s="933">
        <f t="shared" si="30"/>
        <v>224000</v>
      </c>
      <c r="F280" s="933">
        <f t="shared" si="31"/>
        <v>8000</v>
      </c>
      <c r="G280" s="937">
        <f>+E280*'Data Feeding'!$H$70/100/12</f>
        <v>2240</v>
      </c>
      <c r="H280" s="938">
        <f t="shared" si="33"/>
        <v>77</v>
      </c>
      <c r="I280" s="933">
        <f t="shared" ca="1" si="32"/>
        <v>0</v>
      </c>
      <c r="J280" s="933">
        <f>+J279</f>
        <v>0</v>
      </c>
      <c r="K280" s="937">
        <f ca="1">I280*'Data Feeding'!$H$70/100/12</f>
        <v>0</v>
      </c>
      <c r="L280" s="944"/>
      <c r="M280" s="866"/>
      <c r="N280" s="864"/>
      <c r="O280" s="90"/>
      <c r="P280" s="90"/>
      <c r="Q280" s="90"/>
      <c r="R280" s="90"/>
      <c r="S280" s="90"/>
      <c r="T280" s="90"/>
      <c r="U280" s="90"/>
      <c r="V280" s="90"/>
    </row>
    <row r="281" spans="1:22" ht="15.95" customHeight="1">
      <c r="A281" s="124"/>
      <c r="B281" s="378"/>
      <c r="C281" s="706" t="s">
        <v>147</v>
      </c>
      <c r="D281" s="716"/>
      <c r="E281" s="941"/>
      <c r="F281" s="941">
        <f>SUM(F269:F280)</f>
        <v>96000</v>
      </c>
      <c r="G281" s="942">
        <f>SUM(G269:G280)</f>
        <v>32160</v>
      </c>
      <c r="H281" s="938">
        <f t="shared" si="33"/>
        <v>78</v>
      </c>
      <c r="I281" s="933">
        <f t="shared" ca="1" si="32"/>
        <v>0</v>
      </c>
      <c r="J281" s="933">
        <f>+J280</f>
        <v>0</v>
      </c>
      <c r="K281" s="937">
        <f ca="1">I281*'Data Feeding'!$H$70/100/12</f>
        <v>0</v>
      </c>
      <c r="L281" s="944"/>
      <c r="M281" s="866"/>
      <c r="N281" s="864"/>
      <c r="O281" s="90"/>
      <c r="P281" s="90"/>
      <c r="Q281" s="90"/>
      <c r="R281" s="90"/>
      <c r="S281" s="90"/>
      <c r="T281" s="90"/>
      <c r="U281" s="90"/>
      <c r="V281" s="90"/>
    </row>
    <row r="282" spans="1:22" ht="15.95" customHeight="1">
      <c r="A282" s="124"/>
      <c r="B282" s="378"/>
      <c r="C282" s="705" t="s">
        <v>66</v>
      </c>
      <c r="D282" s="706">
        <f>D280+1</f>
        <v>37</v>
      </c>
      <c r="E282" s="921">
        <f>E280-F280</f>
        <v>216000</v>
      </c>
      <c r="F282" s="933">
        <f>+F280</f>
        <v>8000</v>
      </c>
      <c r="G282" s="937">
        <f>+E282*'Data Feeding'!$H$70/100/12</f>
        <v>2160</v>
      </c>
      <c r="H282" s="938">
        <f t="shared" si="33"/>
        <v>79</v>
      </c>
      <c r="I282" s="933">
        <f t="shared" ca="1" si="32"/>
        <v>0</v>
      </c>
      <c r="J282" s="933"/>
      <c r="K282" s="937">
        <f ca="1">I282*'Data Feeding'!$H$70/100/12</f>
        <v>0</v>
      </c>
      <c r="L282" s="948"/>
      <c r="M282" s="866"/>
      <c r="N282" s="864"/>
      <c r="O282" s="90"/>
      <c r="P282" s="90"/>
      <c r="Q282" s="90"/>
      <c r="R282" s="90"/>
      <c r="S282" s="90"/>
      <c r="T282" s="90"/>
      <c r="U282" s="90"/>
      <c r="V282" s="90"/>
    </row>
    <row r="283" spans="1:22" ht="15.95" customHeight="1">
      <c r="A283" s="124"/>
      <c r="B283" s="378"/>
      <c r="C283" s="708" t="s">
        <v>146</v>
      </c>
      <c r="D283" s="706">
        <f>D282+1</f>
        <v>38</v>
      </c>
      <c r="E283" s="921">
        <f t="shared" ref="E283:E288" si="34">E282-F282</f>
        <v>208000</v>
      </c>
      <c r="F283" s="933">
        <f>+F282</f>
        <v>8000</v>
      </c>
      <c r="G283" s="937">
        <f>+E283*'Data Feeding'!$H$70/100/12</f>
        <v>2080</v>
      </c>
      <c r="H283" s="938">
        <f t="shared" si="33"/>
        <v>80</v>
      </c>
      <c r="I283" s="933">
        <f t="shared" ca="1" si="32"/>
        <v>0</v>
      </c>
      <c r="J283" s="933">
        <f>+J282</f>
        <v>0</v>
      </c>
      <c r="K283" s="937">
        <f ca="1">I283*'Data Feeding'!$H$70/100/12</f>
        <v>0</v>
      </c>
      <c r="L283" s="949"/>
      <c r="M283" s="866"/>
      <c r="N283" s="864"/>
      <c r="O283" s="90"/>
      <c r="P283" s="90"/>
      <c r="Q283" s="90"/>
      <c r="R283" s="90"/>
      <c r="S283" s="90"/>
      <c r="T283" s="90"/>
      <c r="U283" s="90"/>
      <c r="V283" s="90"/>
    </row>
    <row r="284" spans="1:22" ht="15.95" customHeight="1">
      <c r="A284" s="438"/>
      <c r="B284" s="378"/>
      <c r="C284" s="710">
        <f>+'Data Feeding'!Q58</f>
        <v>0</v>
      </c>
      <c r="D284" s="706">
        <f>D283+1</f>
        <v>39</v>
      </c>
      <c r="E284" s="921">
        <f t="shared" si="34"/>
        <v>200000</v>
      </c>
      <c r="F284" s="933">
        <f>+F283</f>
        <v>8000</v>
      </c>
      <c r="G284" s="937">
        <f>+E284*'Data Feeding'!$H$70/100/12</f>
        <v>2000</v>
      </c>
      <c r="H284" s="938">
        <f t="shared" si="33"/>
        <v>81</v>
      </c>
      <c r="I284" s="933">
        <f t="shared" ca="1" si="32"/>
        <v>0</v>
      </c>
      <c r="J284" s="933">
        <f>+J283</f>
        <v>0</v>
      </c>
      <c r="K284" s="937">
        <f ca="1">I284*'Data Feeding'!$H$70/100/12</f>
        <v>0</v>
      </c>
      <c r="L284" s="949"/>
      <c r="M284" s="866"/>
      <c r="N284" s="864"/>
      <c r="O284" s="90"/>
      <c r="P284" s="90"/>
      <c r="Q284" s="90"/>
      <c r="R284" s="90"/>
      <c r="S284" s="90"/>
      <c r="T284" s="90"/>
      <c r="U284" s="90"/>
      <c r="V284" s="90"/>
    </row>
    <row r="285" spans="1:22" ht="15.95" customHeight="1">
      <c r="A285" s="438"/>
      <c r="B285" s="378"/>
      <c r="C285" s="715"/>
      <c r="D285" s="706">
        <f>D284+1</f>
        <v>40</v>
      </c>
      <c r="E285" s="921">
        <f t="shared" si="34"/>
        <v>192000</v>
      </c>
      <c r="F285" s="933">
        <f>+F284</f>
        <v>8000</v>
      </c>
      <c r="G285" s="937">
        <f>+E285*'Data Feeding'!$H$70/100/12</f>
        <v>1920</v>
      </c>
      <c r="H285" s="938">
        <f t="shared" si="33"/>
        <v>82</v>
      </c>
      <c r="I285" s="933">
        <f t="shared" ca="1" si="32"/>
        <v>0</v>
      </c>
      <c r="J285" s="933">
        <f>+J284</f>
        <v>0</v>
      </c>
      <c r="K285" s="937">
        <f ca="1">I285*'Data Feeding'!$H$70/100/12</f>
        <v>0</v>
      </c>
      <c r="L285" s="949"/>
      <c r="M285" s="866"/>
      <c r="N285" s="864"/>
      <c r="O285" s="90"/>
      <c r="P285" s="90"/>
      <c r="Q285" s="90"/>
      <c r="R285" s="90"/>
      <c r="S285" s="90"/>
      <c r="T285" s="90"/>
      <c r="U285" s="90"/>
      <c r="V285" s="90"/>
    </row>
    <row r="286" spans="1:22" ht="15.95" customHeight="1">
      <c r="A286" s="438"/>
      <c r="B286" s="378"/>
      <c r="C286" s="715"/>
      <c r="D286" s="706">
        <f>D285+1</f>
        <v>41</v>
      </c>
      <c r="E286" s="921">
        <f t="shared" si="34"/>
        <v>184000</v>
      </c>
      <c r="F286" s="933">
        <f>+F285</f>
        <v>8000</v>
      </c>
      <c r="G286" s="937">
        <f>+E286*'Data Feeding'!$H$70/100/12</f>
        <v>1840</v>
      </c>
      <c r="H286" s="938">
        <f t="shared" si="33"/>
        <v>83</v>
      </c>
      <c r="I286" s="933">
        <f t="shared" ca="1" si="32"/>
        <v>0</v>
      </c>
      <c r="J286" s="933">
        <f>+J285</f>
        <v>0</v>
      </c>
      <c r="K286" s="937">
        <f ca="1">I286*'Data Feeding'!$H$70/100/12</f>
        <v>0</v>
      </c>
      <c r="L286" s="949"/>
      <c r="M286" s="866"/>
      <c r="N286" s="864"/>
      <c r="O286" s="90"/>
      <c r="P286" s="90"/>
      <c r="Q286" s="90"/>
      <c r="R286" s="90"/>
      <c r="S286" s="90"/>
      <c r="T286" s="90"/>
      <c r="U286" s="90"/>
      <c r="V286" s="90"/>
    </row>
    <row r="287" spans="1:22" ht="15.95" customHeight="1">
      <c r="A287" s="438"/>
      <c r="B287" s="378"/>
      <c r="C287" s="715"/>
      <c r="D287" s="706">
        <f>D286+1</f>
        <v>42</v>
      </c>
      <c r="E287" s="921">
        <f t="shared" si="34"/>
        <v>176000</v>
      </c>
      <c r="F287" s="933">
        <f>+F286</f>
        <v>8000</v>
      </c>
      <c r="G287" s="937">
        <f>+E287*'Data Feeding'!$H$70/100/12</f>
        <v>1760</v>
      </c>
      <c r="H287" s="938">
        <f t="shared" si="33"/>
        <v>84</v>
      </c>
      <c r="I287" s="933">
        <f t="shared" ca="1" si="32"/>
        <v>0</v>
      </c>
      <c r="J287" s="933">
        <f>+J286</f>
        <v>0</v>
      </c>
      <c r="K287" s="937">
        <f ca="1">I287*'Data Feeding'!$H$70/100/12</f>
        <v>0</v>
      </c>
      <c r="L287" s="949"/>
      <c r="M287" s="866"/>
      <c r="N287" s="864"/>
      <c r="O287" s="90"/>
      <c r="P287" s="90"/>
      <c r="Q287" s="90"/>
      <c r="R287" s="90"/>
      <c r="S287" s="90"/>
      <c r="T287" s="90"/>
      <c r="U287" s="90"/>
      <c r="V287" s="90"/>
    </row>
    <row r="288" spans="1:22" ht="15.95" customHeight="1">
      <c r="A288" s="438"/>
      <c r="B288" s="378"/>
      <c r="C288" s="715"/>
      <c r="D288" s="699"/>
      <c r="E288" s="718">
        <f t="shared" si="34"/>
        <v>168000</v>
      </c>
      <c r="F288" s="719"/>
      <c r="G288" s="720"/>
      <c r="H288" s="721"/>
      <c r="I288" s="711" t="s">
        <v>97</v>
      </c>
      <c r="J288" s="711">
        <f>SUM(J276:J287)</f>
        <v>0</v>
      </c>
      <c r="K288" s="712">
        <f ca="1">SUM(K276:K287)</f>
        <v>0</v>
      </c>
      <c r="L288" s="717"/>
      <c r="M288" s="866"/>
      <c r="N288" s="864"/>
      <c r="O288" s="90"/>
      <c r="P288" s="90"/>
      <c r="Q288" s="90"/>
      <c r="R288" s="90"/>
      <c r="S288" s="90"/>
      <c r="T288" s="90"/>
      <c r="U288" s="90"/>
      <c r="V288" s="90"/>
    </row>
    <row r="289" spans="1:22" ht="15.95" customHeight="1" thickBot="1">
      <c r="A289" s="124"/>
      <c r="B289" s="24"/>
      <c r="C289" s="722"/>
      <c r="D289" s="723"/>
      <c r="E289" s="724"/>
      <c r="F289" s="723"/>
      <c r="G289" s="723"/>
      <c r="H289" s="379" t="s">
        <v>149</v>
      </c>
      <c r="I289" s="725"/>
      <c r="J289" s="726">
        <f ca="1">F255+F268+F281+J249+J262+J275+J288</f>
        <v>480000</v>
      </c>
      <c r="K289" s="727">
        <f ca="1">G255+G268+G281+K249+K262+K275+K288</f>
        <v>160800</v>
      </c>
      <c r="L289" s="728"/>
      <c r="M289" s="866"/>
      <c r="N289" s="864"/>
      <c r="O289" s="90"/>
      <c r="P289" s="90"/>
      <c r="Q289" s="90"/>
      <c r="R289" s="90"/>
      <c r="S289" s="90"/>
      <c r="T289" s="90"/>
      <c r="U289" s="90"/>
      <c r="V289" s="90"/>
    </row>
    <row r="290" spans="1:22" ht="15.95" customHeight="1" thickTop="1">
      <c r="A290" s="129"/>
      <c r="B290" s="4"/>
      <c r="C290" s="4"/>
      <c r="D290" s="4"/>
      <c r="E290" s="4"/>
      <c r="F290" s="4"/>
      <c r="G290" s="4"/>
      <c r="H290" s="63"/>
      <c r="I290" s="4"/>
      <c r="J290" s="4"/>
      <c r="K290" s="4"/>
      <c r="L290" s="90"/>
      <c r="M290" s="866"/>
      <c r="N290" s="864"/>
      <c r="O290" s="90"/>
      <c r="P290" s="90"/>
      <c r="Q290" s="90"/>
      <c r="R290" s="90"/>
      <c r="S290" s="90"/>
      <c r="T290" s="90"/>
      <c r="U290" s="90"/>
      <c r="V290" s="90"/>
    </row>
    <row r="291" spans="1:22" ht="18" customHeight="1" thickBot="1">
      <c r="A291" s="129"/>
      <c r="B291" s="51"/>
      <c r="C291" s="88"/>
      <c r="D291" s="88"/>
      <c r="E291" s="88"/>
      <c r="F291" s="88"/>
      <c r="G291" s="88"/>
      <c r="H291" s="101"/>
      <c r="I291" s="88"/>
      <c r="J291" s="88"/>
      <c r="K291" s="88"/>
      <c r="L291" s="88"/>
      <c r="M291" s="866"/>
      <c r="N291" s="864"/>
      <c r="O291" s="90"/>
      <c r="P291" s="90"/>
      <c r="Q291" s="90"/>
      <c r="R291" s="90"/>
      <c r="S291" s="90"/>
      <c r="T291" s="90"/>
      <c r="U291" s="90"/>
      <c r="V291" s="90"/>
    </row>
    <row r="292" spans="1:22" ht="18" customHeight="1" thickTop="1">
      <c r="A292" s="773">
        <f>+Report!F354</f>
        <v>0</v>
      </c>
      <c r="B292" s="774"/>
      <c r="C292" s="774"/>
      <c r="D292" s="774"/>
      <c r="E292" s="774"/>
      <c r="F292" s="774"/>
      <c r="G292" s="774"/>
      <c r="H292" s="775"/>
      <c r="I292" s="774"/>
      <c r="J292" s="774"/>
      <c r="K292" s="774"/>
      <c r="L292" s="776" t="str">
        <f>CONCATENATE("--  P. ",C37," --")</f>
        <v>--  P. 7 --</v>
      </c>
      <c r="M292" s="866"/>
      <c r="N292" s="864"/>
      <c r="O292" s="90"/>
      <c r="P292" s="90"/>
      <c r="Q292" s="90"/>
      <c r="R292" s="90"/>
      <c r="S292" s="90"/>
      <c r="T292" s="90"/>
      <c r="U292" s="90"/>
      <c r="V292" s="90"/>
    </row>
    <row r="293" spans="1:22" ht="18" customHeight="1">
      <c r="A293" s="1282" t="str">
        <f>CONCATENATE("PROJECTIONS OF PERFORMENCE, PROFITABILITY AND REPAYMENT: (Annexure - III) ")</f>
        <v xml:space="preserve">PROJECTIONS OF PERFORMENCE, PROFITABILITY AND REPAYMENT: (Annexure - III) </v>
      </c>
      <c r="B293" s="1283"/>
      <c r="C293" s="1283"/>
      <c r="D293" s="1283"/>
      <c r="E293" s="1283"/>
      <c r="F293" s="1283"/>
      <c r="G293" s="1283"/>
      <c r="H293" s="1283"/>
      <c r="I293" s="1283"/>
      <c r="J293" s="1283"/>
      <c r="K293" s="1283"/>
      <c r="L293" s="1284"/>
      <c r="M293" s="866"/>
      <c r="N293" s="864"/>
      <c r="O293" s="90"/>
      <c r="P293" s="90"/>
      <c r="Q293" s="90"/>
      <c r="R293" s="90"/>
      <c r="S293" s="90"/>
      <c r="T293" s="90"/>
      <c r="U293" s="90"/>
      <c r="V293" s="90"/>
    </row>
    <row r="294" spans="1:22" ht="18" customHeight="1">
      <c r="A294" s="777"/>
      <c r="B294" s="4"/>
      <c r="C294" s="4"/>
      <c r="D294" s="21" t="s">
        <v>355</v>
      </c>
      <c r="E294" s="4"/>
      <c r="F294" s="4"/>
      <c r="G294" s="7">
        <f ca="1">+Report!H413</f>
        <v>67.29934728628298</v>
      </c>
      <c r="H294" s="106" t="s">
        <v>69</v>
      </c>
      <c r="I294" s="21" t="s">
        <v>356</v>
      </c>
      <c r="J294" s="3"/>
      <c r="K294" s="4">
        <f ca="1">+'Data Feeding'!N29*G294/100</f>
        <v>8075.9216743539573</v>
      </c>
      <c r="L294" s="24"/>
      <c r="M294" s="866"/>
      <c r="N294" s="864"/>
      <c r="O294" s="90"/>
      <c r="P294" s="90"/>
      <c r="Q294" s="90"/>
      <c r="R294" s="90"/>
      <c r="S294" s="90"/>
      <c r="T294" s="90"/>
      <c r="U294" s="90"/>
      <c r="V294" s="90"/>
    </row>
    <row r="295" spans="1:22" ht="18" customHeight="1">
      <c r="A295" s="777"/>
      <c r="B295" s="4"/>
      <c r="C295" s="4"/>
      <c r="D295" s="21" t="s">
        <v>105</v>
      </c>
      <c r="E295" s="4"/>
      <c r="F295" s="4"/>
      <c r="G295" s="7">
        <f ca="1">+Report!H414</f>
        <v>56.8548422829545</v>
      </c>
      <c r="H295" s="106" t="s">
        <v>69</v>
      </c>
      <c r="I295" s="21" t="s">
        <v>357</v>
      </c>
      <c r="J295" s="3"/>
      <c r="K295" s="72">
        <f ca="1">+H149*G294/100</f>
        <v>2907331.8027674244</v>
      </c>
      <c r="L295" s="24"/>
      <c r="M295" s="866"/>
      <c r="N295" s="864"/>
      <c r="O295" s="90"/>
      <c r="P295" s="90"/>
      <c r="Q295" s="90"/>
      <c r="R295" s="90"/>
      <c r="S295" s="90"/>
      <c r="T295" s="90"/>
      <c r="U295" s="90"/>
      <c r="V295" s="90"/>
    </row>
    <row r="296" spans="1:22" ht="18" customHeight="1">
      <c r="A296" s="1370" t="s">
        <v>120</v>
      </c>
      <c r="B296" s="1371"/>
      <c r="C296" s="1371"/>
      <c r="D296" s="1372"/>
      <c r="E296" s="659" t="s">
        <v>150</v>
      </c>
      <c r="F296" s="685" t="str">
        <f t="shared" ref="F296:I297" si="35">+I137</f>
        <v>1st</v>
      </c>
      <c r="G296" s="685" t="str">
        <f t="shared" si="35"/>
        <v>2nd</v>
      </c>
      <c r="H296" s="686" t="str">
        <f t="shared" si="35"/>
        <v>3rd</v>
      </c>
      <c r="I296" s="685" t="str">
        <f t="shared" si="35"/>
        <v>4th</v>
      </c>
      <c r="J296" s="685" t="str">
        <f>+'Data Feeding'!J36</f>
        <v>5th</v>
      </c>
      <c r="K296" s="685" t="str">
        <f>+'Data Feeding'!K36</f>
        <v>6th</v>
      </c>
      <c r="L296" s="778" t="str">
        <f>+'Data Feeding'!L36</f>
        <v>7th</v>
      </c>
      <c r="M296" s="866"/>
      <c r="N296" s="864"/>
      <c r="O296" s="90"/>
      <c r="P296" s="90"/>
      <c r="Q296" s="90"/>
      <c r="R296" s="90"/>
      <c r="S296" s="90"/>
      <c r="T296" s="90"/>
      <c r="U296" s="90"/>
      <c r="V296" s="90"/>
    </row>
    <row r="297" spans="1:22" ht="18" customHeight="1">
      <c r="A297" s="1373"/>
      <c r="B297" s="1374"/>
      <c r="C297" s="1374"/>
      <c r="D297" s="1375"/>
      <c r="E297" s="650"/>
      <c r="F297" s="919" t="str">
        <f t="shared" si="35"/>
        <v xml:space="preserve"> 2020-21</v>
      </c>
      <c r="G297" s="919" t="str">
        <f t="shared" si="35"/>
        <v xml:space="preserve"> 2021-22</v>
      </c>
      <c r="H297" s="919" t="str">
        <f t="shared" si="35"/>
        <v xml:space="preserve"> 2022-23</v>
      </c>
      <c r="I297" s="919" t="str">
        <f t="shared" si="35"/>
        <v xml:space="preserve"> 2023-24</v>
      </c>
      <c r="J297" s="919" t="str">
        <f>+'Data Feeding'!J37</f>
        <v xml:space="preserve"> 2024-25</v>
      </c>
      <c r="K297" s="919" t="str">
        <f>+'Data Feeding'!K37</f>
        <v xml:space="preserve"> 2025-26</v>
      </c>
      <c r="L297" s="920" t="str">
        <f>+'Data Feeding'!L37</f>
        <v xml:space="preserve"> 2026-27</v>
      </c>
      <c r="M297" s="866"/>
      <c r="N297" s="864"/>
      <c r="O297" s="90"/>
      <c r="P297" s="90"/>
      <c r="Q297" s="90"/>
      <c r="R297" s="90"/>
      <c r="S297" s="90"/>
      <c r="T297" s="90"/>
      <c r="U297" s="90"/>
      <c r="V297" s="90"/>
    </row>
    <row r="298" spans="1:22" ht="18" customHeight="1">
      <c r="A298" s="777" t="s">
        <v>151</v>
      </c>
      <c r="B298" s="4" t="s">
        <v>584</v>
      </c>
      <c r="C298" s="4"/>
      <c r="D298" s="4"/>
      <c r="E298" s="12"/>
      <c r="F298" s="921">
        <f>+'Data Feeding'!F39</f>
        <v>7200</v>
      </c>
      <c r="G298" s="921">
        <f>+'Data Feeding'!G39</f>
        <v>8400</v>
      </c>
      <c r="H298" s="921">
        <f>+'Data Feeding'!H39</f>
        <v>9600</v>
      </c>
      <c r="I298" s="921">
        <f>+'Data Feeding'!I39</f>
        <v>10800</v>
      </c>
      <c r="J298" s="921">
        <f>+'Data Feeding'!J39</f>
        <v>10800</v>
      </c>
      <c r="K298" s="921">
        <f>+'Data Feeding'!K39</f>
        <v>10800</v>
      </c>
      <c r="L298" s="922">
        <f>+'Data Feeding'!L39</f>
        <v>10800</v>
      </c>
      <c r="M298" s="866"/>
      <c r="N298" s="864"/>
      <c r="O298" s="90"/>
      <c r="P298" s="90"/>
      <c r="Q298" s="90"/>
      <c r="R298" s="90"/>
      <c r="S298" s="90"/>
      <c r="T298" s="90"/>
      <c r="U298" s="90"/>
      <c r="V298" s="90"/>
    </row>
    <row r="299" spans="1:22" ht="18" customHeight="1">
      <c r="A299" s="779"/>
      <c r="B299" s="86" t="s">
        <v>152</v>
      </c>
      <c r="C299" s="86"/>
      <c r="D299" s="86"/>
      <c r="E299" s="87"/>
      <c r="F299" s="923">
        <f>I139</f>
        <v>60</v>
      </c>
      <c r="G299" s="923">
        <f>J139</f>
        <v>70</v>
      </c>
      <c r="H299" s="924">
        <f>K139</f>
        <v>80</v>
      </c>
      <c r="I299" s="923">
        <f>L139</f>
        <v>90</v>
      </c>
      <c r="J299" s="923">
        <f>I299</f>
        <v>90</v>
      </c>
      <c r="K299" s="923">
        <f>J299</f>
        <v>90</v>
      </c>
      <c r="L299" s="925">
        <f>K299</f>
        <v>90</v>
      </c>
      <c r="M299" s="866"/>
      <c r="N299" s="864"/>
      <c r="O299" s="90"/>
      <c r="P299" s="90"/>
      <c r="Q299" s="90"/>
      <c r="R299" s="90"/>
      <c r="S299" s="90"/>
      <c r="T299" s="90"/>
      <c r="U299" s="90"/>
      <c r="V299" s="90"/>
    </row>
    <row r="300" spans="1:22" ht="18" customHeight="1">
      <c r="A300" s="786" t="s">
        <v>153</v>
      </c>
      <c r="B300" s="787" t="s">
        <v>154</v>
      </c>
      <c r="C300" s="787"/>
      <c r="D300" s="787"/>
      <c r="E300" s="788"/>
      <c r="F300" s="926">
        <f>I149</f>
        <v>2592000</v>
      </c>
      <c r="G300" s="926">
        <f>J149</f>
        <v>3024000</v>
      </c>
      <c r="H300" s="927">
        <f ca="1">K149</f>
        <v>3476161.0300000003</v>
      </c>
      <c r="I300" s="926">
        <f>L149</f>
        <v>3888000</v>
      </c>
      <c r="J300" s="926">
        <f>+I300</f>
        <v>3888000</v>
      </c>
      <c r="K300" s="926">
        <f>+J300</f>
        <v>3888000</v>
      </c>
      <c r="L300" s="928">
        <f>K300</f>
        <v>3888000</v>
      </c>
      <c r="M300" s="866"/>
      <c r="N300" s="864"/>
      <c r="O300" s="90"/>
      <c r="P300" s="90"/>
      <c r="Q300" s="90"/>
      <c r="R300" s="90"/>
      <c r="S300" s="90"/>
      <c r="T300" s="90"/>
      <c r="U300" s="90"/>
      <c r="V300" s="90"/>
    </row>
    <row r="301" spans="1:22" ht="18" customHeight="1">
      <c r="A301" s="777"/>
      <c r="B301" s="4" t="s">
        <v>155</v>
      </c>
      <c r="C301" s="4"/>
      <c r="D301" s="4"/>
      <c r="E301" s="12"/>
      <c r="F301" s="921"/>
      <c r="G301" s="921"/>
      <c r="H301" s="929"/>
      <c r="I301" s="921"/>
      <c r="J301" s="921"/>
      <c r="K301" s="921"/>
      <c r="L301" s="922"/>
      <c r="M301" s="866"/>
      <c r="N301" s="864"/>
      <c r="O301" s="90"/>
      <c r="P301" s="90"/>
      <c r="Q301" s="90"/>
      <c r="R301" s="90"/>
      <c r="S301" s="90"/>
      <c r="T301" s="90"/>
      <c r="U301" s="90"/>
      <c r="V301" s="90"/>
    </row>
    <row r="302" spans="1:22" ht="18" customHeight="1">
      <c r="A302" s="779"/>
      <c r="B302" s="86" t="s">
        <v>156</v>
      </c>
      <c r="C302" s="86"/>
      <c r="D302" s="86"/>
      <c r="E302" s="87"/>
      <c r="F302" s="923">
        <f>SUM(F300:F301)</f>
        <v>2592000</v>
      </c>
      <c r="G302" s="923">
        <f t="shared" ref="G302:L302" si="36">SUM(G300:G301)</f>
        <v>3024000</v>
      </c>
      <c r="H302" s="923">
        <f ca="1">SUM(H300:H301)</f>
        <v>3476161.0300000003</v>
      </c>
      <c r="I302" s="923">
        <f t="shared" si="36"/>
        <v>3888000</v>
      </c>
      <c r="J302" s="923">
        <f t="shared" si="36"/>
        <v>3888000</v>
      </c>
      <c r="K302" s="923">
        <f t="shared" si="36"/>
        <v>3888000</v>
      </c>
      <c r="L302" s="925">
        <f t="shared" si="36"/>
        <v>3888000</v>
      </c>
      <c r="M302" s="866"/>
      <c r="N302" s="864"/>
      <c r="O302" s="90"/>
      <c r="P302" s="90"/>
      <c r="Q302" s="90"/>
      <c r="R302" s="90"/>
      <c r="S302" s="90"/>
      <c r="T302" s="90"/>
      <c r="U302" s="90"/>
      <c r="V302" s="90"/>
    </row>
    <row r="303" spans="1:22" ht="18" customHeight="1">
      <c r="A303" s="777" t="s">
        <v>157</v>
      </c>
      <c r="B303" s="4"/>
      <c r="C303" s="4"/>
      <c r="D303" s="4"/>
      <c r="E303" s="12"/>
      <c r="F303" s="921"/>
      <c r="G303" s="921"/>
      <c r="H303" s="929"/>
      <c r="I303" s="921"/>
      <c r="J303" s="921"/>
      <c r="K303" s="921"/>
      <c r="L303" s="928"/>
      <c r="M303" s="866"/>
      <c r="N303" s="864"/>
      <c r="O303" s="90"/>
      <c r="P303" s="90"/>
      <c r="Q303" s="90"/>
      <c r="R303" s="90"/>
      <c r="S303" s="90"/>
      <c r="T303" s="90"/>
      <c r="U303" s="90"/>
      <c r="V303" s="90"/>
    </row>
    <row r="304" spans="1:22" ht="18" customHeight="1">
      <c r="A304" s="777"/>
      <c r="B304" s="4" t="s">
        <v>601</v>
      </c>
      <c r="C304" s="4"/>
      <c r="D304" s="4"/>
      <c r="E304" s="12"/>
      <c r="F304" s="921">
        <f>+I164</f>
        <v>1566000</v>
      </c>
      <c r="G304" s="921">
        <f>+J164</f>
        <v>1827000</v>
      </c>
      <c r="H304" s="929">
        <f>+K164</f>
        <v>2088000</v>
      </c>
      <c r="I304" s="921">
        <f>+L164</f>
        <v>2349000</v>
      </c>
      <c r="J304" s="921">
        <f>+I304</f>
        <v>2349000</v>
      </c>
      <c r="K304" s="921">
        <f t="shared" ref="K304:L304" si="37">+J304</f>
        <v>2349000</v>
      </c>
      <c r="L304" s="922">
        <f t="shared" si="37"/>
        <v>2349000</v>
      </c>
      <c r="M304" s="866"/>
      <c r="N304" s="864"/>
      <c r="O304" s="90"/>
      <c r="P304" s="90"/>
      <c r="Q304" s="90"/>
      <c r="R304" s="90"/>
      <c r="S304" s="90"/>
      <c r="T304" s="90"/>
      <c r="U304" s="90"/>
      <c r="V304" s="90"/>
    </row>
    <row r="305" spans="1:22" ht="18" customHeight="1">
      <c r="A305" s="777"/>
      <c r="B305" s="4" t="s">
        <v>158</v>
      </c>
      <c r="C305" s="4"/>
      <c r="D305" s="4"/>
      <c r="E305" s="12"/>
      <c r="F305" s="921">
        <f>I190</f>
        <v>18000</v>
      </c>
      <c r="G305" s="921">
        <f>J190</f>
        <v>21000</v>
      </c>
      <c r="H305" s="929">
        <f>K190</f>
        <v>24000</v>
      </c>
      <c r="I305" s="921">
        <f>L190</f>
        <v>27000</v>
      </c>
      <c r="J305" s="921">
        <f t="shared" ref="J305:L306" si="38">I305</f>
        <v>27000</v>
      </c>
      <c r="K305" s="921">
        <f t="shared" si="38"/>
        <v>27000</v>
      </c>
      <c r="L305" s="922">
        <f t="shared" si="38"/>
        <v>27000</v>
      </c>
      <c r="M305" s="866"/>
      <c r="N305" s="864"/>
      <c r="O305" s="90"/>
      <c r="P305" s="90"/>
      <c r="Q305" s="90"/>
      <c r="R305" s="90"/>
      <c r="S305" s="90"/>
      <c r="T305" s="90"/>
      <c r="U305" s="90"/>
      <c r="V305" s="90"/>
    </row>
    <row r="306" spans="1:22" ht="18" customHeight="1">
      <c r="A306" s="777"/>
      <c r="B306" s="4" t="s">
        <v>159</v>
      </c>
      <c r="C306" s="4"/>
      <c r="D306" s="4"/>
      <c r="E306" s="12"/>
      <c r="F306" s="921">
        <f>I194</f>
        <v>80640</v>
      </c>
      <c r="G306" s="921">
        <f>J194</f>
        <v>94080</v>
      </c>
      <c r="H306" s="929">
        <f>K194</f>
        <v>107520</v>
      </c>
      <c r="I306" s="921">
        <f>L194</f>
        <v>120960</v>
      </c>
      <c r="J306" s="921">
        <f t="shared" si="38"/>
        <v>120960</v>
      </c>
      <c r="K306" s="921">
        <f t="shared" si="38"/>
        <v>120960</v>
      </c>
      <c r="L306" s="922">
        <f t="shared" si="38"/>
        <v>120960</v>
      </c>
      <c r="M306" s="866"/>
      <c r="N306" s="864"/>
      <c r="O306" s="90"/>
      <c r="P306" s="90"/>
      <c r="Q306" s="90"/>
      <c r="R306" s="90"/>
      <c r="S306" s="90"/>
      <c r="T306" s="90"/>
      <c r="U306" s="90"/>
      <c r="V306" s="90"/>
    </row>
    <row r="307" spans="1:22" ht="18" customHeight="1">
      <c r="A307" s="777"/>
      <c r="B307" s="4" t="s">
        <v>160</v>
      </c>
      <c r="C307" s="4"/>
      <c r="D307" s="4"/>
      <c r="E307" s="12"/>
      <c r="F307" s="921">
        <f>I183</f>
        <v>564000</v>
      </c>
      <c r="G307" s="921">
        <f>J183</f>
        <v>637000</v>
      </c>
      <c r="H307" s="929">
        <f>K183</f>
        <v>710450</v>
      </c>
      <c r="I307" s="921">
        <f>L183</f>
        <v>784372.5</v>
      </c>
      <c r="J307" s="921">
        <f>+I307</f>
        <v>784372.5</v>
      </c>
      <c r="K307" s="921">
        <f>+J307</f>
        <v>784372.5</v>
      </c>
      <c r="L307" s="922">
        <f>+K307</f>
        <v>784372.5</v>
      </c>
      <c r="M307" s="866"/>
      <c r="N307" s="864"/>
      <c r="O307" s="90"/>
      <c r="P307" s="90"/>
      <c r="Q307" s="90"/>
      <c r="R307" s="90"/>
      <c r="S307" s="90"/>
      <c r="T307" s="90"/>
      <c r="U307" s="90"/>
      <c r="V307" s="90"/>
    </row>
    <row r="308" spans="1:22" ht="18" customHeight="1">
      <c r="A308" s="777"/>
      <c r="B308" s="4" t="s">
        <v>652</v>
      </c>
      <c r="C308" s="4"/>
      <c r="D308" s="4"/>
      <c r="E308" s="12"/>
      <c r="F308" s="921">
        <f>I218</f>
        <v>25920</v>
      </c>
      <c r="G308" s="921">
        <f>J218</f>
        <v>30240</v>
      </c>
      <c r="H308" s="929">
        <f ca="1">K218</f>
        <v>34761.6103</v>
      </c>
      <c r="I308" s="921">
        <f>L218</f>
        <v>38880</v>
      </c>
      <c r="J308" s="921">
        <f t="shared" ref="J308:L309" si="39">I308</f>
        <v>38880</v>
      </c>
      <c r="K308" s="921">
        <f t="shared" si="39"/>
        <v>38880</v>
      </c>
      <c r="L308" s="922">
        <f t="shared" si="39"/>
        <v>38880</v>
      </c>
      <c r="M308" s="866"/>
      <c r="N308" s="864"/>
      <c r="O308" s="90"/>
      <c r="P308" s="90"/>
      <c r="Q308" s="90"/>
      <c r="R308" s="90"/>
      <c r="S308" s="90"/>
      <c r="T308" s="90"/>
      <c r="U308" s="90"/>
      <c r="V308" s="90"/>
    </row>
    <row r="309" spans="1:22" ht="18" customHeight="1">
      <c r="A309" s="777"/>
      <c r="B309" s="4" t="s">
        <v>653</v>
      </c>
      <c r="C309" s="4"/>
      <c r="D309" s="4"/>
      <c r="E309" s="12"/>
      <c r="F309" s="921">
        <f>I201</f>
        <v>31320</v>
      </c>
      <c r="G309" s="921">
        <f>J201</f>
        <v>36540</v>
      </c>
      <c r="H309" s="929">
        <f ca="1">K201</f>
        <v>41961.6103</v>
      </c>
      <c r="I309" s="921">
        <f>L201</f>
        <v>46980</v>
      </c>
      <c r="J309" s="921">
        <f t="shared" si="39"/>
        <v>46980</v>
      </c>
      <c r="K309" s="921">
        <f t="shared" si="39"/>
        <v>46980</v>
      </c>
      <c r="L309" s="922">
        <f t="shared" si="39"/>
        <v>46980</v>
      </c>
      <c r="M309" s="866"/>
      <c r="N309" s="864"/>
      <c r="O309" s="90"/>
      <c r="P309" s="90"/>
      <c r="Q309" s="90"/>
      <c r="R309" s="90"/>
      <c r="S309" s="90"/>
      <c r="T309" s="90"/>
      <c r="U309" s="90"/>
      <c r="V309" s="90"/>
    </row>
    <row r="310" spans="1:22" ht="18" customHeight="1">
      <c r="A310" s="777"/>
      <c r="B310" s="4" t="s">
        <v>654</v>
      </c>
      <c r="C310" s="4"/>
      <c r="D310" s="4"/>
      <c r="E310" s="12"/>
      <c r="F310" s="923">
        <f>I211</f>
        <v>60000</v>
      </c>
      <c r="G310" s="923">
        <f>J211</f>
        <v>60000</v>
      </c>
      <c r="H310" s="924">
        <f>K211</f>
        <v>60000</v>
      </c>
      <c r="I310" s="923">
        <f>L211</f>
        <v>60000</v>
      </c>
      <c r="J310" s="923">
        <f>+I310</f>
        <v>60000</v>
      </c>
      <c r="K310" s="923">
        <f>+J310</f>
        <v>60000</v>
      </c>
      <c r="L310" s="925">
        <f>+K310</f>
        <v>60000</v>
      </c>
      <c r="M310" s="866"/>
      <c r="N310" s="864"/>
      <c r="O310" s="90"/>
      <c r="P310" s="90"/>
      <c r="Q310" s="90"/>
      <c r="R310" s="90"/>
      <c r="S310" s="90"/>
      <c r="T310" s="90"/>
      <c r="U310" s="90"/>
      <c r="V310" s="90"/>
    </row>
    <row r="311" spans="1:22" ht="18" customHeight="1">
      <c r="A311" s="780" t="s">
        <v>162</v>
      </c>
      <c r="B311" s="781" t="s">
        <v>602</v>
      </c>
      <c r="C311" s="6"/>
      <c r="D311" s="781"/>
      <c r="E311" s="782"/>
      <c r="F311" s="930">
        <f>SUM(F304:F310)</f>
        <v>2345880</v>
      </c>
      <c r="G311" s="930">
        <f t="shared" ref="G311:L311" si="40">SUM(G304:G310)</f>
        <v>2705860</v>
      </c>
      <c r="H311" s="930">
        <f ca="1">SUM(H304:H310)</f>
        <v>3066693.2205999997</v>
      </c>
      <c r="I311" s="930">
        <f t="shared" si="40"/>
        <v>3427192.5</v>
      </c>
      <c r="J311" s="930">
        <f t="shared" si="40"/>
        <v>3427192.5</v>
      </c>
      <c r="K311" s="930">
        <f t="shared" si="40"/>
        <v>3427192.5</v>
      </c>
      <c r="L311" s="931">
        <f t="shared" si="40"/>
        <v>3427192.5</v>
      </c>
      <c r="M311" s="866"/>
      <c r="N311" s="864"/>
      <c r="O311" s="90"/>
      <c r="P311" s="90"/>
      <c r="Q311" s="90"/>
      <c r="R311" s="90"/>
      <c r="S311" s="90"/>
      <c r="T311" s="90"/>
      <c r="U311" s="90"/>
      <c r="V311" s="90"/>
    </row>
    <row r="312" spans="1:22" ht="18" customHeight="1">
      <c r="A312" s="780" t="s">
        <v>163</v>
      </c>
      <c r="B312" s="781" t="s">
        <v>164</v>
      </c>
      <c r="C312" s="781"/>
      <c r="D312" s="781"/>
      <c r="E312" s="782"/>
      <c r="F312" s="930">
        <f t="shared" ref="F312:L312" si="41">F302-F311</f>
        <v>246120</v>
      </c>
      <c r="G312" s="930">
        <f t="shared" si="41"/>
        <v>318140</v>
      </c>
      <c r="H312" s="932">
        <f ca="1">H302-H311</f>
        <v>409467.80940000061</v>
      </c>
      <c r="I312" s="930">
        <f t="shared" si="41"/>
        <v>460807.5</v>
      </c>
      <c r="J312" s="930">
        <f t="shared" si="41"/>
        <v>460807.5</v>
      </c>
      <c r="K312" s="930">
        <f t="shared" si="41"/>
        <v>460807.5</v>
      </c>
      <c r="L312" s="931">
        <f t="shared" si="41"/>
        <v>460807.5</v>
      </c>
      <c r="M312" s="866"/>
      <c r="N312" s="864"/>
      <c r="O312" s="90"/>
      <c r="P312" s="90"/>
      <c r="Q312" s="90"/>
      <c r="R312" s="90"/>
      <c r="S312" s="90"/>
      <c r="T312" s="90"/>
      <c r="U312" s="90"/>
      <c r="V312" s="90"/>
    </row>
    <row r="313" spans="1:22" ht="18" customHeight="1">
      <c r="A313" s="777"/>
      <c r="B313" s="4" t="s">
        <v>166</v>
      </c>
      <c r="C313" s="4"/>
      <c r="D313" s="4"/>
      <c r="E313" s="12"/>
      <c r="F313" s="921">
        <f>+G255</f>
        <v>54720</v>
      </c>
      <c r="G313" s="921">
        <f>G268</f>
        <v>43680</v>
      </c>
      <c r="H313" s="929">
        <f>G281</f>
        <v>32160</v>
      </c>
      <c r="I313" s="921">
        <f>K249</f>
        <v>20640</v>
      </c>
      <c r="J313" s="921">
        <f ca="1">K262</f>
        <v>9120</v>
      </c>
      <c r="K313" s="921">
        <f ca="1">K275</f>
        <v>480</v>
      </c>
      <c r="L313" s="922">
        <f ca="1">+K288</f>
        <v>0</v>
      </c>
      <c r="M313" s="866"/>
      <c r="N313" s="864"/>
      <c r="O313" s="90"/>
      <c r="P313" s="90"/>
      <c r="Q313" s="90"/>
      <c r="R313" s="90"/>
      <c r="S313" s="90"/>
      <c r="T313" s="90"/>
      <c r="U313" s="90"/>
      <c r="V313" s="90"/>
    </row>
    <row r="314" spans="1:22" ht="18" customHeight="1">
      <c r="A314" s="777"/>
      <c r="B314" s="4" t="s">
        <v>167</v>
      </c>
      <c r="C314" s="4"/>
      <c r="D314" s="4"/>
      <c r="E314" s="12"/>
      <c r="F314" s="921">
        <f>I225</f>
        <v>56925</v>
      </c>
      <c r="G314" s="921">
        <f ca="1">J225</f>
        <v>68051</v>
      </c>
      <c r="H314" s="929">
        <f ca="1">K225</f>
        <v>76072.25</v>
      </c>
      <c r="I314" s="921">
        <f ca="1">L225</f>
        <v>76072.25</v>
      </c>
      <c r="J314" s="921">
        <f ca="1">I314</f>
        <v>76072.25</v>
      </c>
      <c r="K314" s="921">
        <f ca="1">J314</f>
        <v>76072.25</v>
      </c>
      <c r="L314" s="922">
        <f ca="1">K314</f>
        <v>76072.25</v>
      </c>
      <c r="M314" s="866"/>
      <c r="N314" s="864"/>
      <c r="O314" s="90"/>
      <c r="P314" s="90"/>
      <c r="Q314" s="90"/>
      <c r="R314" s="90"/>
      <c r="S314" s="90"/>
      <c r="T314" s="90"/>
      <c r="U314" s="90"/>
      <c r="V314" s="90"/>
    </row>
    <row r="315" spans="1:22" ht="18" customHeight="1">
      <c r="A315" s="777" t="s">
        <v>165</v>
      </c>
      <c r="B315" s="23" t="s">
        <v>168</v>
      </c>
      <c r="C315" s="3"/>
      <c r="D315" s="10"/>
      <c r="E315" s="10"/>
      <c r="F315" s="933">
        <f>+I215</f>
        <v>96000</v>
      </c>
      <c r="G315" s="933">
        <f>J215</f>
        <v>96000</v>
      </c>
      <c r="H315" s="934">
        <f>K215</f>
        <v>96000</v>
      </c>
      <c r="I315" s="933">
        <f>L215</f>
        <v>96000</v>
      </c>
      <c r="J315" s="933">
        <f t="shared" ref="J315:L316" si="42">I315</f>
        <v>96000</v>
      </c>
      <c r="K315" s="933">
        <f t="shared" si="42"/>
        <v>96000</v>
      </c>
      <c r="L315" s="935">
        <f t="shared" si="42"/>
        <v>96000</v>
      </c>
      <c r="M315" s="866"/>
      <c r="N315" s="864"/>
      <c r="O315" s="90"/>
      <c r="P315" s="90"/>
      <c r="Q315" s="90"/>
      <c r="R315" s="90"/>
      <c r="S315" s="90"/>
      <c r="T315" s="90"/>
      <c r="U315" s="90"/>
      <c r="V315" s="90"/>
    </row>
    <row r="316" spans="1:22" ht="18" customHeight="1">
      <c r="A316" s="777"/>
      <c r="B316" s="15" t="s">
        <v>169</v>
      </c>
      <c r="C316" s="4"/>
      <c r="D316" s="4"/>
      <c r="E316" s="12"/>
      <c r="F316" s="921">
        <f>+I221</f>
        <v>12960</v>
      </c>
      <c r="G316" s="921">
        <f>J221</f>
        <v>15120</v>
      </c>
      <c r="H316" s="929">
        <f ca="1">K221</f>
        <v>17380.80515</v>
      </c>
      <c r="I316" s="921">
        <f>L221</f>
        <v>19440</v>
      </c>
      <c r="J316" s="921">
        <f t="shared" si="42"/>
        <v>19440</v>
      </c>
      <c r="K316" s="921">
        <f t="shared" si="42"/>
        <v>19440</v>
      </c>
      <c r="L316" s="922">
        <f t="shared" si="42"/>
        <v>19440</v>
      </c>
      <c r="M316" s="866"/>
      <c r="N316" s="864"/>
      <c r="O316" s="90"/>
      <c r="P316" s="90"/>
      <c r="Q316" s="90"/>
      <c r="R316" s="90"/>
      <c r="S316" s="90"/>
      <c r="T316" s="90"/>
      <c r="U316" s="90"/>
      <c r="V316" s="90"/>
    </row>
    <row r="317" spans="1:22" ht="18" customHeight="1">
      <c r="A317" s="780" t="s">
        <v>640</v>
      </c>
      <c r="B317" s="781" t="s">
        <v>171</v>
      </c>
      <c r="C317" s="781"/>
      <c r="D317" s="781"/>
      <c r="E317" s="782"/>
      <c r="F317" s="930">
        <f t="shared" ref="F317:L317" si="43">F312-F313-F314-F316-F315</f>
        <v>25515</v>
      </c>
      <c r="G317" s="930">
        <f t="shared" ca="1" si="43"/>
        <v>95289</v>
      </c>
      <c r="H317" s="930">
        <f t="shared" ca="1" si="43"/>
        <v>187854.75425000058</v>
      </c>
      <c r="I317" s="930">
        <f t="shared" ca="1" si="43"/>
        <v>248655.25</v>
      </c>
      <c r="J317" s="930">
        <f t="shared" ca="1" si="43"/>
        <v>260175.25</v>
      </c>
      <c r="K317" s="930">
        <f t="shared" ca="1" si="43"/>
        <v>268815.25</v>
      </c>
      <c r="L317" s="931">
        <f t="shared" ca="1" si="43"/>
        <v>269295.25</v>
      </c>
      <c r="M317" s="866"/>
      <c r="N317" s="864"/>
      <c r="O317" s="90"/>
      <c r="P317" s="90"/>
      <c r="Q317" s="90"/>
      <c r="R317" s="90"/>
      <c r="S317" s="90"/>
      <c r="T317" s="90"/>
      <c r="U317" s="90"/>
      <c r="V317" s="90"/>
    </row>
    <row r="318" spans="1:22" ht="18" customHeight="1">
      <c r="A318" s="777" t="s">
        <v>170</v>
      </c>
      <c r="B318" s="4" t="s">
        <v>173</v>
      </c>
      <c r="C318" s="4"/>
      <c r="D318" s="4"/>
      <c r="E318" s="12"/>
      <c r="F318" s="921">
        <f t="shared" ref="F318:L318" si="44">+F317*0.1</f>
        <v>2551.5</v>
      </c>
      <c r="G318" s="921">
        <f t="shared" ca="1" si="44"/>
        <v>9528.9</v>
      </c>
      <c r="H318" s="921">
        <f t="shared" ca="1" si="44"/>
        <v>18785.475425000059</v>
      </c>
      <c r="I318" s="921">
        <f t="shared" ca="1" si="44"/>
        <v>24865.525000000001</v>
      </c>
      <c r="J318" s="921">
        <f t="shared" ca="1" si="44"/>
        <v>26017.525000000001</v>
      </c>
      <c r="K318" s="921">
        <f t="shared" ca="1" si="44"/>
        <v>26881.525000000001</v>
      </c>
      <c r="L318" s="922">
        <f t="shared" ca="1" si="44"/>
        <v>26929.525000000001</v>
      </c>
      <c r="M318" s="866"/>
      <c r="N318" s="864"/>
      <c r="O318" s="90"/>
      <c r="P318" s="90"/>
      <c r="Q318" s="90"/>
      <c r="R318" s="90"/>
      <c r="S318" s="90"/>
      <c r="T318" s="90"/>
      <c r="U318" s="90"/>
      <c r="V318" s="90"/>
    </row>
    <row r="319" spans="1:22" ht="18" customHeight="1">
      <c r="A319" s="780" t="s">
        <v>172</v>
      </c>
      <c r="B319" s="781" t="s">
        <v>641</v>
      </c>
      <c r="C319" s="781"/>
      <c r="D319" s="781"/>
      <c r="E319" s="782"/>
      <c r="F319" s="930">
        <f t="shared" ref="F319" si="45">F317-F318</f>
        <v>22963.5</v>
      </c>
      <c r="G319" s="930">
        <f ca="1">G317</f>
        <v>95289</v>
      </c>
      <c r="H319" s="932">
        <f ca="1">H317-H318</f>
        <v>169069.27882500051</v>
      </c>
      <c r="I319" s="930">
        <f ca="1">I317-I318</f>
        <v>223789.72500000001</v>
      </c>
      <c r="J319" s="930">
        <f ca="1">J317-J318</f>
        <v>234157.72500000001</v>
      </c>
      <c r="K319" s="930">
        <f ca="1">K317-K318</f>
        <v>241933.72500000001</v>
      </c>
      <c r="L319" s="931">
        <f ca="1">L317-L318</f>
        <v>242365.72500000001</v>
      </c>
      <c r="M319" s="866"/>
      <c r="N319" s="864"/>
      <c r="O319" s="90"/>
      <c r="P319" s="90"/>
      <c r="Q319" s="90"/>
      <c r="R319" s="90"/>
      <c r="S319" s="90"/>
      <c r="T319" s="90"/>
      <c r="U319" s="90"/>
      <c r="V319" s="90"/>
    </row>
    <row r="320" spans="1:22" ht="18" customHeight="1">
      <c r="A320" s="777" t="s">
        <v>174</v>
      </c>
      <c r="B320" s="4" t="s">
        <v>175</v>
      </c>
      <c r="C320" s="4"/>
      <c r="D320" s="4"/>
      <c r="E320" s="12"/>
      <c r="F320" s="921">
        <f t="shared" ref="F320:I320" si="46">F310</f>
        <v>60000</v>
      </c>
      <c r="G320" s="921">
        <f t="shared" si="46"/>
        <v>60000</v>
      </c>
      <c r="H320" s="929">
        <f t="shared" si="46"/>
        <v>60000</v>
      </c>
      <c r="I320" s="921">
        <f t="shared" si="46"/>
        <v>60000</v>
      </c>
      <c r="J320" s="921">
        <f>+I320</f>
        <v>60000</v>
      </c>
      <c r="K320" s="921">
        <f>+J320</f>
        <v>60000</v>
      </c>
      <c r="L320" s="922">
        <f>+K320</f>
        <v>60000</v>
      </c>
      <c r="M320" s="866"/>
      <c r="N320" s="864"/>
      <c r="O320" s="90"/>
      <c r="P320" s="90"/>
      <c r="Q320" s="90"/>
      <c r="R320" s="90"/>
      <c r="S320" s="90"/>
      <c r="T320" s="90"/>
      <c r="U320" s="90"/>
      <c r="V320" s="90"/>
    </row>
    <row r="321" spans="1:22" ht="18" customHeight="1">
      <c r="A321" s="780" t="s">
        <v>572</v>
      </c>
      <c r="B321" s="781" t="s">
        <v>177</v>
      </c>
      <c r="C321" s="781"/>
      <c r="D321" s="781"/>
      <c r="E321" s="782"/>
      <c r="F321" s="930">
        <f t="shared" ref="F321" si="47">F319+F320</f>
        <v>82963.5</v>
      </c>
      <c r="G321" s="930">
        <f t="shared" ref="G321:L321" ca="1" si="48">G319+G320</f>
        <v>155289</v>
      </c>
      <c r="H321" s="932">
        <f t="shared" ca="1" si="48"/>
        <v>229069.27882500051</v>
      </c>
      <c r="I321" s="930">
        <f t="shared" ca="1" si="48"/>
        <v>283789.72499999998</v>
      </c>
      <c r="J321" s="930">
        <f t="shared" ca="1" si="48"/>
        <v>294157.72499999998</v>
      </c>
      <c r="K321" s="930">
        <f t="shared" ca="1" si="48"/>
        <v>301933.72499999998</v>
      </c>
      <c r="L321" s="931">
        <f t="shared" ca="1" si="48"/>
        <v>302365.72499999998</v>
      </c>
      <c r="M321" s="866"/>
      <c r="N321" s="864"/>
      <c r="O321" s="90"/>
      <c r="P321" s="90"/>
      <c r="Q321" s="90"/>
      <c r="R321" s="90"/>
      <c r="S321" s="90"/>
      <c r="T321" s="90"/>
      <c r="U321" s="90"/>
      <c r="V321" s="90"/>
    </row>
    <row r="322" spans="1:22" ht="18" customHeight="1">
      <c r="A322" s="777" t="s">
        <v>176</v>
      </c>
      <c r="B322" s="4" t="s">
        <v>179</v>
      </c>
      <c r="C322" s="4"/>
      <c r="D322" s="4"/>
      <c r="E322" s="12"/>
      <c r="F322" s="921"/>
      <c r="G322" s="921"/>
      <c r="H322" s="929"/>
      <c r="I322" s="921"/>
      <c r="J322" s="921"/>
      <c r="K322" s="921"/>
      <c r="L322" s="922"/>
      <c r="M322" s="866"/>
      <c r="N322" s="864"/>
      <c r="O322" s="90"/>
      <c r="P322" s="90"/>
      <c r="Q322" s="90"/>
      <c r="R322" s="90"/>
      <c r="S322" s="90"/>
      <c r="T322" s="90"/>
      <c r="U322" s="90"/>
      <c r="V322" s="90"/>
    </row>
    <row r="323" spans="1:22" ht="18" customHeight="1">
      <c r="A323" s="777"/>
      <c r="B323" s="4" t="s">
        <v>180</v>
      </c>
      <c r="C323" s="4"/>
      <c r="D323" s="4"/>
      <c r="E323" s="12"/>
      <c r="F323" s="921">
        <f>F255</f>
        <v>72000</v>
      </c>
      <c r="G323" s="921">
        <f>Report!G368</f>
        <v>96000</v>
      </c>
      <c r="H323" s="929">
        <f>Report!H368</f>
        <v>96000</v>
      </c>
      <c r="I323" s="921">
        <f>Report!I368</f>
        <v>96000</v>
      </c>
      <c r="J323" s="921">
        <f>Report!J368</f>
        <v>96000</v>
      </c>
      <c r="K323" s="921">
        <f ca="1">Report!K368</f>
        <v>24000</v>
      </c>
      <c r="L323" s="922">
        <f>Report!L368</f>
        <v>0</v>
      </c>
      <c r="M323" s="866"/>
      <c r="N323" s="864"/>
      <c r="O323" s="90"/>
      <c r="P323" s="90"/>
      <c r="Q323" s="90"/>
      <c r="R323" s="90"/>
      <c r="S323" s="90"/>
      <c r="T323" s="90"/>
      <c r="U323" s="90"/>
      <c r="V323" s="90"/>
    </row>
    <row r="324" spans="1:22" ht="18" customHeight="1">
      <c r="A324" s="777"/>
      <c r="B324" s="4" t="s">
        <v>181</v>
      </c>
      <c r="C324" s="4"/>
      <c r="D324" s="4"/>
      <c r="E324" s="12"/>
      <c r="F324" s="921"/>
      <c r="G324" s="921"/>
      <c r="H324" s="929"/>
      <c r="I324" s="921"/>
      <c r="J324" s="921"/>
      <c r="K324" s="921"/>
      <c r="L324" s="922"/>
      <c r="M324" s="866"/>
      <c r="N324" s="864"/>
      <c r="O324" s="90"/>
      <c r="P324" s="90"/>
      <c r="Q324" s="90"/>
      <c r="R324" s="90"/>
      <c r="S324" s="90"/>
      <c r="T324" s="90"/>
      <c r="U324" s="90"/>
      <c r="V324" s="90"/>
    </row>
    <row r="325" spans="1:22" ht="18" customHeight="1">
      <c r="A325" s="780"/>
      <c r="B325" s="781"/>
      <c r="C325" s="781" t="s">
        <v>182</v>
      </c>
      <c r="D325" s="781"/>
      <c r="E325" s="782"/>
      <c r="F325" s="930">
        <f t="shared" ref="F325:L325" si="49">F324+F323</f>
        <v>72000</v>
      </c>
      <c r="G325" s="930">
        <f t="shared" si="49"/>
        <v>96000</v>
      </c>
      <c r="H325" s="932">
        <f t="shared" si="49"/>
        <v>96000</v>
      </c>
      <c r="I325" s="930">
        <f t="shared" si="49"/>
        <v>96000</v>
      </c>
      <c r="J325" s="930">
        <f t="shared" si="49"/>
        <v>96000</v>
      </c>
      <c r="K325" s="930">
        <f ca="1">K324+K323</f>
        <v>24000</v>
      </c>
      <c r="L325" s="931">
        <f t="shared" si="49"/>
        <v>0</v>
      </c>
      <c r="M325" s="866"/>
      <c r="N325" s="864"/>
      <c r="O325" s="90"/>
      <c r="P325" s="90"/>
      <c r="Q325" s="90"/>
      <c r="R325" s="90"/>
      <c r="S325" s="90"/>
      <c r="T325" s="90"/>
      <c r="U325" s="90"/>
      <c r="V325" s="90"/>
    </row>
    <row r="326" spans="1:22" ht="18" customHeight="1">
      <c r="A326" s="780" t="s">
        <v>178</v>
      </c>
      <c r="B326" s="783" t="s">
        <v>183</v>
      </c>
      <c r="C326" s="781"/>
      <c r="D326" s="781"/>
      <c r="E326" s="782"/>
      <c r="F326" s="930">
        <f t="shared" ref="F326" si="50">+F325+F313+F314</f>
        <v>183645</v>
      </c>
      <c r="G326" s="930">
        <f t="shared" ref="G326:L326" ca="1" si="51">+G325+G313+G314</f>
        <v>207731</v>
      </c>
      <c r="H326" s="932">
        <f t="shared" ca="1" si="51"/>
        <v>204232.25</v>
      </c>
      <c r="I326" s="930">
        <f t="shared" ca="1" si="51"/>
        <v>192712.25</v>
      </c>
      <c r="J326" s="930">
        <f t="shared" ca="1" si="51"/>
        <v>181192.25</v>
      </c>
      <c r="K326" s="930">
        <f t="shared" ca="1" si="51"/>
        <v>100552.25</v>
      </c>
      <c r="L326" s="936">
        <f t="shared" ca="1" si="51"/>
        <v>76072.25</v>
      </c>
      <c r="M326" s="866"/>
      <c r="N326" s="864"/>
      <c r="O326" s="90"/>
      <c r="P326" s="90"/>
      <c r="Q326" s="90"/>
      <c r="R326" s="90"/>
      <c r="S326" s="90"/>
      <c r="T326" s="90"/>
      <c r="U326" s="90"/>
      <c r="V326" s="90"/>
    </row>
    <row r="327" spans="1:22" ht="18" customHeight="1" thickBot="1">
      <c r="A327" s="130"/>
      <c r="B327" s="784"/>
      <c r="C327" s="784"/>
      <c r="D327" s="784"/>
      <c r="E327" s="784"/>
      <c r="F327" s="784"/>
      <c r="G327" s="784"/>
      <c r="H327" s="785"/>
      <c r="I327" s="784"/>
      <c r="J327" s="784"/>
      <c r="K327" s="784"/>
      <c r="L327" s="92"/>
      <c r="M327" s="866"/>
      <c r="N327" s="864"/>
      <c r="O327" s="90"/>
      <c r="P327" s="90"/>
      <c r="Q327" s="90"/>
      <c r="R327" s="90"/>
      <c r="S327" s="90"/>
      <c r="T327" s="90"/>
      <c r="U327" s="90"/>
      <c r="V327" s="90"/>
    </row>
    <row r="328" spans="1:22" s="90" customFormat="1" ht="18" customHeight="1" thickTop="1">
      <c r="M328" s="866"/>
      <c r="N328" s="864"/>
    </row>
    <row r="329" spans="1:22" ht="18" customHeight="1" thickBot="1">
      <c r="A329" s="131"/>
      <c r="B329" s="21"/>
      <c r="C329" s="21"/>
      <c r="D329" s="21"/>
      <c r="E329" s="53"/>
      <c r="F329" s="53"/>
      <c r="G329" s="53"/>
      <c r="H329" s="107"/>
      <c r="I329" s="53"/>
      <c r="J329" s="53"/>
      <c r="K329" s="53"/>
      <c r="L329" s="53"/>
      <c r="M329" s="866"/>
      <c r="N329" s="864"/>
      <c r="O329" s="90"/>
      <c r="P329" s="90"/>
      <c r="Q329" s="90"/>
      <c r="R329" s="90"/>
      <c r="S329" s="90"/>
      <c r="T329" s="90"/>
      <c r="U329" s="90"/>
      <c r="V329" s="90"/>
    </row>
    <row r="330" spans="1:22" ht="18" customHeight="1" thickTop="1">
      <c r="A330" s="842" t="s">
        <v>633</v>
      </c>
      <c r="B330" s="843"/>
      <c r="C330" s="843"/>
      <c r="D330" s="843"/>
      <c r="E330" s="843"/>
      <c r="F330" s="843"/>
      <c r="G330" s="843"/>
      <c r="H330" s="843"/>
      <c r="I330" s="843"/>
      <c r="J330" s="843"/>
      <c r="K330" s="843"/>
      <c r="L330" s="844" t="str">
        <f>CONCATENATE("--  P. ",C38," --")</f>
        <v>--  P. 8 --</v>
      </c>
      <c r="M330" s="866"/>
      <c r="N330" s="864"/>
      <c r="O330" s="90"/>
      <c r="P330" s="90"/>
      <c r="Q330" s="90"/>
      <c r="R330" s="90"/>
      <c r="S330" s="90"/>
      <c r="T330" s="90"/>
      <c r="U330" s="90"/>
      <c r="V330" s="90"/>
    </row>
    <row r="331" spans="1:22" ht="18" customHeight="1">
      <c r="A331" s="385"/>
      <c r="B331" s="406" t="s">
        <v>120</v>
      </c>
      <c r="C331" s="406"/>
      <c r="D331" s="406"/>
      <c r="E331" s="407" t="s">
        <v>184</v>
      </c>
      <c r="F331" s="306" t="str">
        <f>Report!F352</f>
        <v>1st</v>
      </c>
      <c r="G331" s="306" t="str">
        <f>Report!G352</f>
        <v>2nd</v>
      </c>
      <c r="H331" s="408" t="str">
        <f>Report!H352</f>
        <v>3rd</v>
      </c>
      <c r="I331" s="306" t="str">
        <f>Report!I352</f>
        <v>4th</v>
      </c>
      <c r="J331" s="306" t="str">
        <f>Report!J352</f>
        <v>5th</v>
      </c>
      <c r="K331" s="306" t="str">
        <f>Report!K352</f>
        <v>6th</v>
      </c>
      <c r="L331" s="386" t="str">
        <f>Report!L352</f>
        <v>7th</v>
      </c>
      <c r="M331" s="866"/>
      <c r="N331" s="864"/>
      <c r="O331" s="90"/>
      <c r="P331" s="90"/>
      <c r="Q331" s="90"/>
      <c r="R331" s="90"/>
      <c r="S331" s="90"/>
      <c r="T331" s="90"/>
      <c r="U331" s="90"/>
      <c r="V331" s="90"/>
    </row>
    <row r="332" spans="1:22" ht="18" customHeight="1">
      <c r="A332" s="409"/>
      <c r="B332" s="410" t="s">
        <v>198</v>
      </c>
      <c r="C332" s="411"/>
      <c r="D332" s="411"/>
      <c r="E332" s="412"/>
      <c r="F332" s="682"/>
      <c r="G332" s="682"/>
      <c r="H332" s="683"/>
      <c r="I332" s="682"/>
      <c r="J332" s="682"/>
      <c r="K332" s="682"/>
      <c r="L332" s="684"/>
      <c r="M332" s="866"/>
      <c r="N332" s="864"/>
      <c r="O332" s="90"/>
      <c r="P332" s="90"/>
      <c r="Q332" s="90"/>
      <c r="R332" s="90"/>
      <c r="S332" s="90"/>
      <c r="T332" s="90"/>
      <c r="U332" s="90"/>
      <c r="V332" s="90"/>
    </row>
    <row r="333" spans="1:22" ht="18" customHeight="1">
      <c r="A333" s="413" t="s">
        <v>199</v>
      </c>
      <c r="B333" s="414"/>
      <c r="C333" s="415"/>
      <c r="D333" s="415"/>
      <c r="E333" s="904">
        <f>Report!E356</f>
        <v>261500</v>
      </c>
      <c r="F333" s="904">
        <f t="shared" ref="F333:L333" si="52">E333</f>
        <v>261500</v>
      </c>
      <c r="G333" s="904">
        <f t="shared" si="52"/>
        <v>261500</v>
      </c>
      <c r="H333" s="905">
        <f t="shared" si="52"/>
        <v>261500</v>
      </c>
      <c r="I333" s="904">
        <f t="shared" si="52"/>
        <v>261500</v>
      </c>
      <c r="J333" s="904">
        <f t="shared" si="52"/>
        <v>261500</v>
      </c>
      <c r="K333" s="904">
        <f t="shared" si="52"/>
        <v>261500</v>
      </c>
      <c r="L333" s="906">
        <f t="shared" si="52"/>
        <v>261500</v>
      </c>
      <c r="M333" s="866"/>
      <c r="N333" s="864"/>
      <c r="O333" s="90"/>
      <c r="P333" s="90"/>
      <c r="Q333" s="90"/>
      <c r="R333" s="90"/>
      <c r="S333" s="90"/>
      <c r="T333" s="90"/>
      <c r="U333" s="90"/>
      <c r="V333" s="90"/>
    </row>
    <row r="334" spans="1:22" ht="18" customHeight="1">
      <c r="A334" s="413" t="s">
        <v>200</v>
      </c>
      <c r="B334" s="414"/>
      <c r="C334" s="415"/>
      <c r="D334" s="415"/>
      <c r="E334" s="904"/>
      <c r="F334" s="904">
        <f t="shared" ref="F334" si="53">F319</f>
        <v>22963.5</v>
      </c>
      <c r="G334" s="904">
        <f t="shared" ref="G334:L334" ca="1" si="54">G319+F334</f>
        <v>118252.5</v>
      </c>
      <c r="H334" s="904">
        <f t="shared" ca="1" si="54"/>
        <v>287321.77882500051</v>
      </c>
      <c r="I334" s="904">
        <f t="shared" ca="1" si="54"/>
        <v>511111.50382500049</v>
      </c>
      <c r="J334" s="904">
        <f t="shared" ca="1" si="54"/>
        <v>745269.22882500046</v>
      </c>
      <c r="K334" s="904">
        <f t="shared" ca="1" si="54"/>
        <v>987202.95382500044</v>
      </c>
      <c r="L334" s="906">
        <f t="shared" ca="1" si="54"/>
        <v>1229568.6788250005</v>
      </c>
      <c r="M334" s="866"/>
      <c r="N334" s="864"/>
      <c r="O334" s="90"/>
      <c r="P334" s="90"/>
      <c r="Q334" s="90"/>
      <c r="R334" s="90"/>
      <c r="S334" s="90"/>
      <c r="T334" s="90"/>
      <c r="U334" s="90"/>
      <c r="V334" s="90"/>
    </row>
    <row r="335" spans="1:22" ht="18" customHeight="1">
      <c r="A335" s="413" t="s">
        <v>201</v>
      </c>
      <c r="B335" s="414"/>
      <c r="C335" s="415"/>
      <c r="D335" s="415"/>
      <c r="E335" s="904">
        <f>Report!E358</f>
        <v>480000</v>
      </c>
      <c r="F335" s="904">
        <f>E335-Report!F368</f>
        <v>408000</v>
      </c>
      <c r="G335" s="904">
        <f>F335-Report!G368</f>
        <v>312000</v>
      </c>
      <c r="H335" s="905">
        <f>G335-Report!H368</f>
        <v>216000</v>
      </c>
      <c r="I335" s="904">
        <f>H335-Report!I368</f>
        <v>120000</v>
      </c>
      <c r="J335" s="904">
        <f>I335-Report!J368</f>
        <v>24000</v>
      </c>
      <c r="K335" s="904">
        <f ca="1">J335-Report!K368</f>
        <v>0</v>
      </c>
      <c r="L335" s="906">
        <f ca="1">K335-Report!L368</f>
        <v>0</v>
      </c>
      <c r="M335" s="866"/>
      <c r="N335" s="864"/>
      <c r="O335" s="90"/>
      <c r="P335" s="90"/>
      <c r="Q335" s="90"/>
      <c r="R335" s="90"/>
      <c r="S335" s="90"/>
      <c r="T335" s="90"/>
      <c r="U335" s="90"/>
      <c r="V335" s="90"/>
    </row>
    <row r="336" spans="1:22" ht="18" customHeight="1">
      <c r="A336" s="413" t="s">
        <v>202</v>
      </c>
      <c r="B336" s="414"/>
      <c r="C336" s="415"/>
      <c r="D336" s="415"/>
      <c r="E336" s="904"/>
      <c r="F336" s="904">
        <f>+Report!L119</f>
        <v>424500</v>
      </c>
      <c r="G336" s="904">
        <f>+J390</f>
        <v>495000</v>
      </c>
      <c r="H336" s="905">
        <f ca="1">+K390</f>
        <v>567000</v>
      </c>
      <c r="I336" s="905">
        <f>+L390</f>
        <v>636750</v>
      </c>
      <c r="J336" s="904">
        <f>+I336</f>
        <v>636750</v>
      </c>
      <c r="K336" s="904">
        <f>+J336</f>
        <v>636750</v>
      </c>
      <c r="L336" s="906">
        <f>K336</f>
        <v>636750</v>
      </c>
      <c r="M336" s="866"/>
      <c r="N336" s="864"/>
      <c r="O336" s="90"/>
      <c r="P336" s="90"/>
      <c r="Q336" s="90"/>
      <c r="R336" s="90"/>
      <c r="S336" s="90"/>
      <c r="T336" s="90"/>
      <c r="U336" s="90"/>
      <c r="V336" s="90"/>
    </row>
    <row r="337" spans="1:22" ht="18" customHeight="1">
      <c r="A337" s="413" t="s">
        <v>203</v>
      </c>
      <c r="B337" s="414"/>
      <c r="C337" s="415"/>
      <c r="D337" s="415"/>
      <c r="E337" s="904"/>
      <c r="F337" s="904">
        <f>+I385</f>
        <v>36540</v>
      </c>
      <c r="G337" s="904">
        <f>+J385</f>
        <v>42630</v>
      </c>
      <c r="H337" s="905">
        <f>+K385</f>
        <v>48720</v>
      </c>
      <c r="I337" s="904">
        <f>+L385</f>
        <v>54810</v>
      </c>
      <c r="J337" s="904">
        <f>+I337</f>
        <v>54810</v>
      </c>
      <c r="K337" s="904">
        <f>+J337</f>
        <v>54810</v>
      </c>
      <c r="L337" s="906">
        <f>+K337</f>
        <v>54810</v>
      </c>
      <c r="M337" s="866"/>
      <c r="N337" s="864"/>
      <c r="O337" s="90"/>
      <c r="P337" s="90"/>
      <c r="Q337" s="90"/>
      <c r="R337" s="90"/>
      <c r="S337" s="90"/>
      <c r="T337" s="90"/>
      <c r="U337" s="90"/>
      <c r="V337" s="90"/>
    </row>
    <row r="338" spans="1:22" ht="18" customHeight="1">
      <c r="A338" s="413" t="s">
        <v>61</v>
      </c>
      <c r="B338" s="414"/>
      <c r="C338" s="415"/>
      <c r="D338" s="415"/>
      <c r="E338" s="904"/>
      <c r="F338" s="904"/>
      <c r="G338" s="904"/>
      <c r="H338" s="905"/>
      <c r="I338" s="904"/>
      <c r="J338" s="904"/>
      <c r="K338" s="904"/>
      <c r="L338" s="906"/>
      <c r="M338" s="866"/>
      <c r="N338" s="864"/>
      <c r="O338" s="90"/>
      <c r="P338" s="90"/>
      <c r="Q338" s="90"/>
      <c r="R338" s="90"/>
      <c r="S338" s="90"/>
      <c r="T338" s="90"/>
      <c r="U338" s="90"/>
      <c r="V338" s="90"/>
    </row>
    <row r="339" spans="1:22" ht="18" customHeight="1" thickBot="1">
      <c r="A339" s="416" t="s">
        <v>247</v>
      </c>
      <c r="B339" s="417"/>
      <c r="C339" s="417"/>
      <c r="D339" s="417"/>
      <c r="E339" s="907">
        <f t="shared" ref="E339:F339" si="55">SUM(E333:E338)</f>
        <v>741500</v>
      </c>
      <c r="F339" s="907">
        <f t="shared" si="55"/>
        <v>1153503.5</v>
      </c>
      <c r="G339" s="907">
        <f t="shared" ref="G339:L339" ca="1" si="56">SUM(G333:G338)</f>
        <v>1229382.5</v>
      </c>
      <c r="H339" s="908">
        <f t="shared" ca="1" si="56"/>
        <v>1380541.7788250004</v>
      </c>
      <c r="I339" s="907">
        <f t="shared" ca="1" si="56"/>
        <v>1584171.5038250005</v>
      </c>
      <c r="J339" s="907">
        <f t="shared" ca="1" si="56"/>
        <v>1722329.2288250006</v>
      </c>
      <c r="K339" s="907">
        <f t="shared" ca="1" si="56"/>
        <v>1940262.9538250004</v>
      </c>
      <c r="L339" s="909">
        <f t="shared" ca="1" si="56"/>
        <v>2182628.6788250003</v>
      </c>
      <c r="M339" s="866"/>
      <c r="N339" s="864"/>
      <c r="O339" s="90"/>
      <c r="P339" s="90"/>
      <c r="Q339" s="90"/>
      <c r="R339" s="90"/>
      <c r="S339" s="90"/>
      <c r="T339" s="90"/>
      <c r="U339" s="90"/>
      <c r="V339" s="90"/>
    </row>
    <row r="340" spans="1:22" ht="18" customHeight="1" thickTop="1">
      <c r="A340" s="418"/>
      <c r="B340" s="419" t="s">
        <v>204</v>
      </c>
      <c r="C340" s="420"/>
      <c r="D340" s="420"/>
      <c r="E340" s="910">
        <f t="shared" ref="E340:F340" si="57">+E339-E349</f>
        <v>0</v>
      </c>
      <c r="F340" s="910">
        <f t="shared" si="57"/>
        <v>0</v>
      </c>
      <c r="G340" s="910">
        <f t="shared" ref="G340:L340" ca="1" si="58">+G339-G349</f>
        <v>0</v>
      </c>
      <c r="H340" s="911">
        <f t="shared" ca="1" si="58"/>
        <v>0</v>
      </c>
      <c r="I340" s="910">
        <f t="shared" ca="1" si="58"/>
        <v>0</v>
      </c>
      <c r="J340" s="910">
        <f t="shared" ca="1" si="58"/>
        <v>0</v>
      </c>
      <c r="K340" s="910">
        <f t="shared" ca="1" si="58"/>
        <v>0</v>
      </c>
      <c r="L340" s="912">
        <f t="shared" ca="1" si="58"/>
        <v>0</v>
      </c>
      <c r="M340" s="866"/>
      <c r="N340" s="864"/>
      <c r="O340" s="90"/>
      <c r="P340" s="90"/>
      <c r="Q340" s="90"/>
      <c r="R340" s="90"/>
      <c r="S340" s="90"/>
      <c r="T340" s="90"/>
      <c r="U340" s="90"/>
      <c r="V340" s="90"/>
    </row>
    <row r="341" spans="1:22" ht="18" customHeight="1">
      <c r="A341" s="413" t="s">
        <v>205</v>
      </c>
      <c r="B341" s="414"/>
      <c r="C341" s="415"/>
      <c r="D341" s="415"/>
      <c r="E341" s="904">
        <f>+'Data Feeding'!J91</f>
        <v>600000</v>
      </c>
      <c r="F341" s="904">
        <f t="shared" ref="F341:L341" si="59">E343</f>
        <v>600000</v>
      </c>
      <c r="G341" s="904">
        <f t="shared" si="59"/>
        <v>540000</v>
      </c>
      <c r="H341" s="905">
        <f t="shared" si="59"/>
        <v>480000</v>
      </c>
      <c r="I341" s="904">
        <f t="shared" si="59"/>
        <v>420000</v>
      </c>
      <c r="J341" s="904">
        <f t="shared" si="59"/>
        <v>360000</v>
      </c>
      <c r="K341" s="904">
        <f t="shared" si="59"/>
        <v>300000</v>
      </c>
      <c r="L341" s="906">
        <f t="shared" si="59"/>
        <v>240000</v>
      </c>
      <c r="M341" s="866"/>
      <c r="N341" s="864"/>
      <c r="O341" s="90"/>
      <c r="P341" s="90"/>
      <c r="Q341" s="90"/>
      <c r="R341" s="90"/>
      <c r="S341" s="90"/>
      <c r="T341" s="90"/>
      <c r="U341" s="90"/>
      <c r="V341" s="90"/>
    </row>
    <row r="342" spans="1:22" ht="18" customHeight="1">
      <c r="A342" s="413" t="s">
        <v>187</v>
      </c>
      <c r="B342" s="415"/>
      <c r="C342" s="415"/>
      <c r="D342" s="415"/>
      <c r="E342" s="904"/>
      <c r="F342" s="904">
        <f t="shared" ref="F342:L342" si="60">F310</f>
        <v>60000</v>
      </c>
      <c r="G342" s="904">
        <f t="shared" si="60"/>
        <v>60000</v>
      </c>
      <c r="H342" s="905">
        <f t="shared" si="60"/>
        <v>60000</v>
      </c>
      <c r="I342" s="904">
        <f t="shared" si="60"/>
        <v>60000</v>
      </c>
      <c r="J342" s="904">
        <f t="shared" si="60"/>
        <v>60000</v>
      </c>
      <c r="K342" s="904">
        <f t="shared" si="60"/>
        <v>60000</v>
      </c>
      <c r="L342" s="906">
        <f t="shared" si="60"/>
        <v>60000</v>
      </c>
      <c r="M342" s="866"/>
      <c r="N342" s="864"/>
      <c r="O342" s="90"/>
      <c r="P342" s="90"/>
      <c r="Q342" s="90"/>
      <c r="R342" s="90"/>
      <c r="S342" s="90"/>
      <c r="T342" s="90"/>
      <c r="U342" s="90"/>
      <c r="V342" s="90"/>
    </row>
    <row r="343" spans="1:22" ht="18" customHeight="1">
      <c r="A343" s="421" t="s">
        <v>206</v>
      </c>
      <c r="B343" s="422"/>
      <c r="C343" s="422"/>
      <c r="D343" s="422"/>
      <c r="E343" s="913">
        <f t="shared" ref="E343:L343" si="61">E341-E342</f>
        <v>600000</v>
      </c>
      <c r="F343" s="913">
        <f t="shared" si="61"/>
        <v>540000</v>
      </c>
      <c r="G343" s="913">
        <f t="shared" si="61"/>
        <v>480000</v>
      </c>
      <c r="H343" s="914">
        <f t="shared" si="61"/>
        <v>420000</v>
      </c>
      <c r="I343" s="913">
        <f t="shared" si="61"/>
        <v>360000</v>
      </c>
      <c r="J343" s="913">
        <f t="shared" si="61"/>
        <v>300000</v>
      </c>
      <c r="K343" s="913">
        <f t="shared" si="61"/>
        <v>240000</v>
      </c>
      <c r="L343" s="915">
        <f t="shared" si="61"/>
        <v>180000</v>
      </c>
      <c r="M343" s="866"/>
      <c r="N343" s="864"/>
      <c r="O343" s="90"/>
      <c r="P343" s="90"/>
      <c r="Q343" s="90"/>
      <c r="R343" s="90"/>
      <c r="S343" s="90"/>
      <c r="T343" s="90"/>
      <c r="U343" s="90"/>
      <c r="V343" s="90"/>
    </row>
    <row r="344" spans="1:22" ht="18" customHeight="1">
      <c r="A344" s="413" t="s">
        <v>207</v>
      </c>
      <c r="B344" s="414"/>
      <c r="C344" s="415"/>
      <c r="D344" s="415"/>
      <c r="E344" s="904"/>
      <c r="F344" s="904">
        <f>+I380</f>
        <v>156600</v>
      </c>
      <c r="G344" s="904">
        <f t="shared" ref="G344:I344" si="62">+J380</f>
        <v>182700</v>
      </c>
      <c r="H344" s="904">
        <f t="shared" si="62"/>
        <v>208800</v>
      </c>
      <c r="I344" s="904">
        <f t="shared" si="62"/>
        <v>234900</v>
      </c>
      <c r="J344" s="904">
        <f t="shared" ref="J344:L347" si="63">+I344</f>
        <v>234900</v>
      </c>
      <c r="K344" s="904">
        <f t="shared" si="63"/>
        <v>234900</v>
      </c>
      <c r="L344" s="906">
        <f t="shared" si="63"/>
        <v>234900</v>
      </c>
      <c r="M344" s="866"/>
      <c r="N344" s="864"/>
      <c r="O344" s="90"/>
      <c r="P344" s="90"/>
      <c r="Q344" s="90"/>
      <c r="R344" s="90"/>
      <c r="S344" s="90"/>
      <c r="T344" s="90"/>
      <c r="U344" s="90"/>
      <c r="V344" s="90"/>
    </row>
    <row r="345" spans="1:22" ht="18" customHeight="1">
      <c r="A345" s="413" t="s">
        <v>208</v>
      </c>
      <c r="B345" s="414"/>
      <c r="C345" s="415"/>
      <c r="D345" s="415"/>
      <c r="E345" s="904"/>
      <c r="F345" s="904">
        <f>+I382</f>
        <v>116640</v>
      </c>
      <c r="G345" s="904">
        <f t="shared" ref="G345:I345" si="64">+J382</f>
        <v>136080</v>
      </c>
      <c r="H345" s="904">
        <f ca="1">+K382</f>
        <v>156427.24635</v>
      </c>
      <c r="I345" s="904">
        <f t="shared" si="64"/>
        <v>174960</v>
      </c>
      <c r="J345" s="904">
        <f t="shared" si="63"/>
        <v>174960</v>
      </c>
      <c r="K345" s="904">
        <f t="shared" si="63"/>
        <v>174960</v>
      </c>
      <c r="L345" s="906">
        <f t="shared" si="63"/>
        <v>174960</v>
      </c>
      <c r="M345" s="866"/>
      <c r="N345" s="864"/>
      <c r="O345" s="90"/>
      <c r="P345" s="90"/>
      <c r="Q345" s="90"/>
      <c r="R345" s="90"/>
      <c r="S345" s="90"/>
      <c r="T345" s="90"/>
      <c r="U345" s="90"/>
      <c r="V345" s="90"/>
    </row>
    <row r="346" spans="1:22" ht="18" customHeight="1">
      <c r="A346" s="413" t="s">
        <v>209</v>
      </c>
      <c r="B346" s="414"/>
      <c r="C346" s="415"/>
      <c r="D346" s="415"/>
      <c r="E346" s="904"/>
      <c r="F346" s="904">
        <f>+I381</f>
        <v>70560</v>
      </c>
      <c r="G346" s="904">
        <f t="shared" ref="G346:I346" si="65">+J381</f>
        <v>82320</v>
      </c>
      <c r="H346" s="904">
        <f t="shared" si="65"/>
        <v>94080</v>
      </c>
      <c r="I346" s="904">
        <f t="shared" si="65"/>
        <v>105840</v>
      </c>
      <c r="J346" s="904">
        <f t="shared" si="63"/>
        <v>105840</v>
      </c>
      <c r="K346" s="904">
        <f t="shared" si="63"/>
        <v>105840</v>
      </c>
      <c r="L346" s="906">
        <f t="shared" si="63"/>
        <v>105840</v>
      </c>
      <c r="M346" s="866"/>
      <c r="N346" s="864"/>
      <c r="O346" s="90"/>
      <c r="P346" s="90"/>
      <c r="Q346" s="90"/>
      <c r="R346" s="90"/>
      <c r="S346" s="90"/>
      <c r="T346" s="90"/>
      <c r="U346" s="90"/>
      <c r="V346" s="90"/>
    </row>
    <row r="347" spans="1:22" ht="18" customHeight="1">
      <c r="A347" s="413" t="s">
        <v>210</v>
      </c>
      <c r="B347" s="414"/>
      <c r="C347" s="415"/>
      <c r="D347" s="415"/>
      <c r="E347" s="904"/>
      <c r="F347" s="904">
        <f>+I383</f>
        <v>259200</v>
      </c>
      <c r="G347" s="904">
        <f t="shared" ref="G347:I347" si="66">+J383</f>
        <v>302400</v>
      </c>
      <c r="H347" s="904">
        <f t="shared" si="66"/>
        <v>345600</v>
      </c>
      <c r="I347" s="904">
        <f t="shared" si="66"/>
        <v>388800</v>
      </c>
      <c r="J347" s="904">
        <f t="shared" si="63"/>
        <v>388800</v>
      </c>
      <c r="K347" s="904">
        <f t="shared" si="63"/>
        <v>388800</v>
      </c>
      <c r="L347" s="906">
        <f t="shared" si="63"/>
        <v>388800</v>
      </c>
      <c r="M347" s="866"/>
      <c r="N347" s="864"/>
      <c r="O347" s="90"/>
      <c r="P347" s="90"/>
      <c r="Q347" s="90"/>
      <c r="R347" s="90"/>
      <c r="S347" s="90"/>
      <c r="T347" s="90"/>
      <c r="U347" s="90"/>
      <c r="V347" s="90"/>
    </row>
    <row r="348" spans="1:22" ht="18" customHeight="1">
      <c r="A348" s="413" t="s">
        <v>211</v>
      </c>
      <c r="B348" s="414"/>
      <c r="C348" s="415"/>
      <c r="D348" s="415"/>
      <c r="E348" s="904">
        <f>Report!E374</f>
        <v>141500</v>
      </c>
      <c r="F348" s="904">
        <f>Report!F374</f>
        <v>10503.5</v>
      </c>
      <c r="G348" s="904">
        <f ca="1">Report!G374</f>
        <v>45882.5</v>
      </c>
      <c r="H348" s="905">
        <f ca="1">Report!H374</f>
        <v>155634.53247500048</v>
      </c>
      <c r="I348" s="904">
        <f ca="1">Report!I374</f>
        <v>319671.50382500049</v>
      </c>
      <c r="J348" s="904">
        <f ca="1">Report!J374</f>
        <v>517829.22882500046</v>
      </c>
      <c r="K348" s="904">
        <f ca="1">Report!K374</f>
        <v>795762.95382500044</v>
      </c>
      <c r="L348" s="906">
        <f ca="1">Report!L374</f>
        <v>1098128.6788250003</v>
      </c>
      <c r="M348" s="866"/>
      <c r="N348" s="864"/>
      <c r="O348" s="90"/>
      <c r="P348" s="90"/>
      <c r="Q348" s="90"/>
      <c r="R348" s="90"/>
      <c r="S348" s="90"/>
      <c r="T348" s="90"/>
      <c r="U348" s="90"/>
      <c r="V348" s="90"/>
    </row>
    <row r="349" spans="1:22" ht="18" customHeight="1" thickBot="1">
      <c r="A349" s="423" t="s">
        <v>212</v>
      </c>
      <c r="B349" s="424"/>
      <c r="C349" s="424"/>
      <c r="D349" s="424"/>
      <c r="E349" s="916">
        <f t="shared" ref="E349:F349" si="67">SUM(E343:E348)</f>
        <v>741500</v>
      </c>
      <c r="F349" s="916">
        <f t="shared" si="67"/>
        <v>1153503.5</v>
      </c>
      <c r="G349" s="916">
        <f t="shared" ref="G349:L349" ca="1" si="68">SUM(G343:G348)</f>
        <v>1229382.5</v>
      </c>
      <c r="H349" s="917">
        <f t="shared" ca="1" si="68"/>
        <v>1380541.7788250006</v>
      </c>
      <c r="I349" s="916">
        <f t="shared" ca="1" si="68"/>
        <v>1584171.5038250005</v>
      </c>
      <c r="J349" s="916">
        <f t="shared" ca="1" si="68"/>
        <v>1722329.2288250006</v>
      </c>
      <c r="K349" s="916">
        <f t="shared" ca="1" si="68"/>
        <v>1940262.9538250004</v>
      </c>
      <c r="L349" s="918">
        <f t="shared" ca="1" si="68"/>
        <v>2182628.6788250003</v>
      </c>
      <c r="M349" s="866"/>
      <c r="N349" s="864"/>
      <c r="O349" s="90"/>
      <c r="P349" s="90"/>
      <c r="Q349" s="90"/>
      <c r="R349" s="90"/>
      <c r="S349" s="90"/>
      <c r="T349" s="90"/>
      <c r="U349" s="90"/>
      <c r="V349" s="90"/>
    </row>
    <row r="350" spans="1:22" ht="18" customHeight="1" thickTop="1" thickBot="1">
      <c r="A350" s="132"/>
      <c r="B350" s="32"/>
      <c r="C350" s="32"/>
      <c r="D350" s="32"/>
      <c r="E350" s="46"/>
      <c r="F350" s="46"/>
      <c r="G350" s="46"/>
      <c r="H350" s="108"/>
      <c r="I350" s="46"/>
      <c r="J350" s="46"/>
      <c r="K350" s="46"/>
      <c r="L350" s="46"/>
      <c r="M350" s="866"/>
      <c r="N350" s="864"/>
      <c r="O350" s="90"/>
      <c r="P350" s="90"/>
      <c r="Q350" s="90"/>
      <c r="R350" s="90"/>
      <c r="S350" s="90"/>
      <c r="T350" s="90"/>
      <c r="U350" s="90"/>
      <c r="V350" s="90"/>
    </row>
    <row r="351" spans="1:22" ht="18" customHeight="1" thickTop="1">
      <c r="A351" s="1285" t="s">
        <v>632</v>
      </c>
      <c r="B351" s="1286"/>
      <c r="C351" s="1286"/>
      <c r="D351" s="1286"/>
      <c r="E351" s="1286"/>
      <c r="F351" s="1286"/>
      <c r="G351" s="1286"/>
      <c r="H351" s="1286"/>
      <c r="I351" s="1286"/>
      <c r="J351" s="1286"/>
      <c r="K351" s="1286"/>
      <c r="L351" s="841"/>
      <c r="M351" s="866"/>
      <c r="N351" s="864"/>
      <c r="O351" s="90"/>
      <c r="P351" s="90"/>
      <c r="Q351" s="90"/>
      <c r="R351" s="90"/>
      <c r="S351" s="90"/>
      <c r="T351" s="90"/>
      <c r="U351" s="90"/>
      <c r="V351" s="90"/>
    </row>
    <row r="352" spans="1:22" ht="18" customHeight="1">
      <c r="A352" s="380"/>
      <c r="B352" s="381" t="s">
        <v>120</v>
      </c>
      <c r="C352" s="381"/>
      <c r="D352" s="381"/>
      <c r="E352" s="382" t="s">
        <v>184</v>
      </c>
      <c r="F352" s="383" t="str">
        <f>+'Data Feeding'!F36</f>
        <v>1st</v>
      </c>
      <c r="G352" s="383" t="str">
        <f>+'Data Feeding'!G36</f>
        <v>2nd</v>
      </c>
      <c r="H352" s="383" t="str">
        <f>+'Data Feeding'!H36</f>
        <v>3rd</v>
      </c>
      <c r="I352" s="383" t="str">
        <f>+'Data Feeding'!I36</f>
        <v>4th</v>
      </c>
      <c r="J352" s="383" t="str">
        <f>+'Data Feeding'!J36</f>
        <v>5th</v>
      </c>
      <c r="K352" s="383" t="str">
        <f>+'Data Feeding'!K36</f>
        <v>6th</v>
      </c>
      <c r="L352" s="384" t="str">
        <f>+'Data Feeding'!L36</f>
        <v>7th</v>
      </c>
      <c r="M352" s="866"/>
      <c r="N352" s="864"/>
      <c r="O352" s="90"/>
      <c r="P352" s="90"/>
      <c r="Q352" s="90"/>
      <c r="R352" s="90"/>
      <c r="S352" s="90"/>
      <c r="T352" s="90"/>
      <c r="U352" s="90"/>
      <c r="V352" s="90"/>
    </row>
    <row r="353" spans="1:22" ht="18" customHeight="1">
      <c r="A353" s="385"/>
      <c r="B353" s="304"/>
      <c r="C353" s="304"/>
      <c r="D353" s="304"/>
      <c r="E353" s="305"/>
      <c r="F353" s="306" t="str">
        <f>+'Data Feeding'!F37</f>
        <v xml:space="preserve"> 2020-21</v>
      </c>
      <c r="G353" s="306" t="str">
        <f>+'Data Feeding'!G37</f>
        <v xml:space="preserve"> 2021-22</v>
      </c>
      <c r="H353" s="306" t="str">
        <f>+'Data Feeding'!H37</f>
        <v xml:space="preserve"> 2022-23</v>
      </c>
      <c r="I353" s="306" t="str">
        <f>+'Data Feeding'!I37</f>
        <v xml:space="preserve"> 2023-24</v>
      </c>
      <c r="J353" s="306" t="str">
        <f>+'Data Feeding'!J37</f>
        <v xml:space="preserve"> 2024-25</v>
      </c>
      <c r="K353" s="306" t="str">
        <f>+'Data Feeding'!K37</f>
        <v xml:space="preserve"> 2025-26</v>
      </c>
      <c r="L353" s="386" t="str">
        <f>+'Data Feeding'!L37</f>
        <v xml:space="preserve"> 2026-27</v>
      </c>
      <c r="M353" s="866"/>
      <c r="N353" s="864"/>
      <c r="O353" s="90"/>
      <c r="P353" s="90"/>
      <c r="Q353" s="90"/>
      <c r="R353" s="90"/>
      <c r="S353" s="90"/>
      <c r="T353" s="90"/>
      <c r="U353" s="90"/>
      <c r="V353" s="90"/>
    </row>
    <row r="354" spans="1:22" ht="18" customHeight="1">
      <c r="A354" s="387" t="s">
        <v>151</v>
      </c>
      <c r="B354" s="381" t="s">
        <v>185</v>
      </c>
      <c r="C354" s="388"/>
      <c r="D354" s="388"/>
      <c r="E354" s="388"/>
      <c r="F354" s="389"/>
      <c r="G354" s="389"/>
      <c r="H354" s="390"/>
      <c r="I354" s="389"/>
      <c r="J354" s="389"/>
      <c r="K354" s="389"/>
      <c r="L354" s="391"/>
      <c r="M354" s="866"/>
      <c r="N354" s="864"/>
      <c r="O354" s="90"/>
      <c r="P354" s="90"/>
      <c r="Q354" s="90"/>
      <c r="R354" s="90"/>
      <c r="S354" s="90"/>
      <c r="T354" s="90"/>
      <c r="U354" s="90"/>
      <c r="V354" s="90"/>
    </row>
    <row r="355" spans="1:22" ht="18" customHeight="1">
      <c r="A355" s="392" t="s">
        <v>186</v>
      </c>
      <c r="B355" s="308"/>
      <c r="C355" s="303"/>
      <c r="D355" s="303"/>
      <c r="E355" s="309" t="s">
        <v>264</v>
      </c>
      <c r="F355" s="868">
        <f>Report!F319+Report!F313+Report!F314</f>
        <v>134608.5</v>
      </c>
      <c r="G355" s="868">
        <f ca="1">Report!G319+Report!G313+Report!G314</f>
        <v>207020</v>
      </c>
      <c r="H355" s="869">
        <f ca="1">Report!H319+Report!H313+Report!H314</f>
        <v>277301.52882500051</v>
      </c>
      <c r="I355" s="868">
        <f ca="1">Report!I319+Report!I313+Report!I314-P3452</f>
        <v>312720.24837624998</v>
      </c>
      <c r="J355" s="868">
        <f ca="1">Report!J319+Report!J313+Report!J314-P3452</f>
        <v>311568.24837624998</v>
      </c>
      <c r="K355" s="868">
        <f ca="1">Report!K319+Report!K313+Report!K314-P3452</f>
        <v>310704.24837624998</v>
      </c>
      <c r="L355" s="870">
        <f ca="1">Report!L319+Report!L313+Report!L314-P3452</f>
        <v>310656.24837624998</v>
      </c>
      <c r="M355" s="866"/>
      <c r="N355" s="864"/>
      <c r="O355" s="90"/>
      <c r="P355" s="90"/>
      <c r="Q355" s="90"/>
      <c r="R355" s="90"/>
      <c r="S355" s="90"/>
      <c r="T355" s="90"/>
      <c r="U355" s="90"/>
      <c r="V355" s="90"/>
    </row>
    <row r="356" spans="1:22" ht="18" customHeight="1">
      <c r="A356" s="392" t="s">
        <v>122</v>
      </c>
      <c r="B356" s="308"/>
      <c r="C356" s="303"/>
      <c r="D356" s="303"/>
      <c r="E356" s="868">
        <f>Report!L116</f>
        <v>261500</v>
      </c>
      <c r="F356" s="868"/>
      <c r="G356" s="868"/>
      <c r="H356" s="869"/>
      <c r="I356" s="868"/>
      <c r="J356" s="868"/>
      <c r="K356" s="868"/>
      <c r="L356" s="870"/>
      <c r="M356" s="866"/>
      <c r="N356" s="864"/>
      <c r="O356" s="90"/>
      <c r="P356" s="90"/>
      <c r="Q356" s="90"/>
      <c r="R356" s="90"/>
      <c r="S356" s="90"/>
      <c r="T356" s="90"/>
      <c r="U356" s="90"/>
      <c r="V356" s="90"/>
    </row>
    <row r="357" spans="1:22" ht="18" customHeight="1">
      <c r="A357" s="392" t="s">
        <v>187</v>
      </c>
      <c r="B357" s="308"/>
      <c r="C357" s="303"/>
      <c r="D357" s="303"/>
      <c r="E357" s="868"/>
      <c r="F357" s="868">
        <f>Report!F310</f>
        <v>60000</v>
      </c>
      <c r="G357" s="868">
        <f>Report!G310</f>
        <v>60000</v>
      </c>
      <c r="H357" s="869">
        <f>Report!H310</f>
        <v>60000</v>
      </c>
      <c r="I357" s="868">
        <f>Report!I310</f>
        <v>60000</v>
      </c>
      <c r="J357" s="868">
        <f>Report!J310</f>
        <v>60000</v>
      </c>
      <c r="K357" s="868">
        <f>Report!K310</f>
        <v>60000</v>
      </c>
      <c r="L357" s="870">
        <f>Report!L310</f>
        <v>60000</v>
      </c>
      <c r="M357" s="866"/>
      <c r="N357" s="864"/>
      <c r="O357" s="90"/>
      <c r="P357" s="90"/>
      <c r="Q357" s="90"/>
      <c r="R357" s="90"/>
      <c r="S357" s="90"/>
      <c r="T357" s="90"/>
      <c r="U357" s="90"/>
      <c r="V357" s="90"/>
    </row>
    <row r="358" spans="1:22" ht="18" customHeight="1">
      <c r="A358" s="392" t="s">
        <v>188</v>
      </c>
      <c r="B358" s="308"/>
      <c r="C358" s="303"/>
      <c r="D358" s="303"/>
      <c r="E358" s="868">
        <f>+Report!F241</f>
        <v>480000</v>
      </c>
      <c r="F358" s="868"/>
      <c r="G358" s="868"/>
      <c r="H358" s="869"/>
      <c r="I358" s="868"/>
      <c r="J358" s="868"/>
      <c r="K358" s="868"/>
      <c r="L358" s="870"/>
      <c r="M358" s="866"/>
      <c r="N358" s="864"/>
      <c r="O358" s="90"/>
      <c r="P358" s="90"/>
      <c r="Q358" s="90"/>
      <c r="R358" s="90"/>
      <c r="S358" s="90"/>
      <c r="T358" s="90"/>
      <c r="U358" s="90"/>
      <c r="V358" s="90"/>
    </row>
    <row r="359" spans="1:22" ht="18" customHeight="1">
      <c r="A359" s="392" t="s">
        <v>197</v>
      </c>
      <c r="B359" s="308"/>
      <c r="C359" s="303"/>
      <c r="D359" s="303"/>
      <c r="E359" s="868"/>
      <c r="F359" s="868">
        <f>+Report!I390</f>
        <v>424500</v>
      </c>
      <c r="G359" s="868">
        <f>+Report!G336-Report!F336</f>
        <v>70500</v>
      </c>
      <c r="H359" s="869">
        <f ca="1">+Report!H336-Report!G336</f>
        <v>72000</v>
      </c>
      <c r="I359" s="869">
        <f ca="1">+Report!I336-Report!H336</f>
        <v>69750</v>
      </c>
      <c r="J359" s="871"/>
      <c r="K359" s="868"/>
      <c r="L359" s="870"/>
      <c r="M359" s="866"/>
      <c r="N359" s="864"/>
      <c r="O359" s="90"/>
      <c r="P359" s="90"/>
      <c r="Q359" s="90"/>
      <c r="R359" s="90"/>
      <c r="S359" s="90"/>
      <c r="T359" s="90"/>
      <c r="U359" s="90"/>
      <c r="V359" s="90"/>
    </row>
    <row r="360" spans="1:22" ht="18" customHeight="1">
      <c r="A360" s="393" t="s">
        <v>189</v>
      </c>
      <c r="B360" s="310"/>
      <c r="C360" s="307"/>
      <c r="D360" s="307"/>
      <c r="E360" s="872">
        <f>+Report!E337</f>
        <v>0</v>
      </c>
      <c r="F360" s="872">
        <f>+Report!F337-Report!E337</f>
        <v>36540</v>
      </c>
      <c r="G360" s="872">
        <f>+Report!G337-Report!F337</f>
        <v>6090</v>
      </c>
      <c r="H360" s="873">
        <f>+Report!H337-Report!G337</f>
        <v>6090</v>
      </c>
      <c r="I360" s="872">
        <f>+Report!I337-Report!H337</f>
        <v>6090</v>
      </c>
      <c r="J360" s="872">
        <f>+Report!J337-Report!I337</f>
        <v>0</v>
      </c>
      <c r="K360" s="872">
        <f>+Report!K337-Report!J337</f>
        <v>0</v>
      </c>
      <c r="L360" s="874">
        <f>+Report!L337-Report!K337</f>
        <v>0</v>
      </c>
      <c r="M360" s="866"/>
      <c r="N360" s="864"/>
      <c r="O360" s="90"/>
      <c r="P360" s="90"/>
      <c r="Q360" s="90"/>
      <c r="R360" s="90"/>
      <c r="S360" s="90"/>
      <c r="T360" s="90"/>
      <c r="U360" s="90"/>
      <c r="V360" s="90"/>
    </row>
    <row r="361" spans="1:22" ht="18" customHeight="1">
      <c r="A361" s="394" t="s">
        <v>97</v>
      </c>
      <c r="B361" s="311"/>
      <c r="C361" s="311"/>
      <c r="D361" s="311"/>
      <c r="E361" s="875">
        <f t="shared" ref="E361:F361" si="69">SUM(E354:E360)</f>
        <v>741500</v>
      </c>
      <c r="F361" s="875">
        <f t="shared" si="69"/>
        <v>655648.5</v>
      </c>
      <c r="G361" s="875">
        <f t="shared" ref="G361:L361" ca="1" si="70">SUM(G354:G360)</f>
        <v>343610</v>
      </c>
      <c r="H361" s="876">
        <f t="shared" ca="1" si="70"/>
        <v>415391.52882500051</v>
      </c>
      <c r="I361" s="875">
        <f t="shared" ca="1" si="70"/>
        <v>448560.24837624998</v>
      </c>
      <c r="J361" s="875">
        <f t="shared" ca="1" si="70"/>
        <v>371568.24837624998</v>
      </c>
      <c r="K361" s="875">
        <f t="shared" ca="1" si="70"/>
        <v>370704.24837624998</v>
      </c>
      <c r="L361" s="877">
        <f t="shared" ca="1" si="70"/>
        <v>370656.24837624998</v>
      </c>
      <c r="M361" s="866"/>
      <c r="N361" s="864"/>
      <c r="O361" s="90"/>
      <c r="P361" s="90"/>
      <c r="Q361" s="90"/>
      <c r="R361" s="90"/>
      <c r="S361" s="90"/>
      <c r="T361" s="90"/>
      <c r="U361" s="90"/>
      <c r="V361" s="90"/>
    </row>
    <row r="362" spans="1:22" ht="18" customHeight="1">
      <c r="A362" s="395" t="s">
        <v>153</v>
      </c>
      <c r="B362" s="396" t="s">
        <v>190</v>
      </c>
      <c r="C362" s="396"/>
      <c r="D362" s="397"/>
      <c r="E362" s="878"/>
      <c r="F362" s="879"/>
      <c r="G362" s="879"/>
      <c r="H362" s="880"/>
      <c r="I362" s="879"/>
      <c r="J362" s="879"/>
      <c r="K362" s="879"/>
      <c r="L362" s="881"/>
      <c r="M362" s="866"/>
      <c r="N362" s="864"/>
      <c r="O362" s="90"/>
      <c r="P362" s="90"/>
      <c r="Q362" s="90"/>
      <c r="R362" s="90"/>
      <c r="S362" s="90"/>
      <c r="T362" s="90"/>
      <c r="U362" s="90"/>
      <c r="V362" s="90"/>
    </row>
    <row r="363" spans="1:22" ht="18" customHeight="1">
      <c r="A363" s="392" t="s">
        <v>249</v>
      </c>
      <c r="B363" s="303"/>
      <c r="C363" s="308"/>
      <c r="D363" s="303"/>
      <c r="E363" s="868">
        <f>+E341</f>
        <v>600000</v>
      </c>
      <c r="F363" s="868"/>
      <c r="G363" s="868"/>
      <c r="H363" s="869"/>
      <c r="I363" s="868"/>
      <c r="J363" s="868"/>
      <c r="K363" s="868"/>
      <c r="L363" s="870"/>
      <c r="M363" s="866"/>
      <c r="N363" s="864"/>
      <c r="O363" s="90"/>
      <c r="P363" s="90"/>
      <c r="Q363" s="90"/>
      <c r="R363" s="90"/>
      <c r="S363" s="90"/>
      <c r="T363" s="90"/>
      <c r="U363" s="90"/>
      <c r="V363" s="90"/>
    </row>
    <row r="364" spans="1:22" ht="18" customHeight="1">
      <c r="A364" s="392" t="s">
        <v>123</v>
      </c>
      <c r="B364" s="303"/>
      <c r="C364" s="308"/>
      <c r="D364" s="303"/>
      <c r="E364" s="868">
        <f>+Report!E344</f>
        <v>0</v>
      </c>
      <c r="F364" s="868">
        <f>+Report!F344-Report!E344</f>
        <v>156600</v>
      </c>
      <c r="G364" s="868">
        <f>+Report!G344-Report!F344</f>
        <v>26100</v>
      </c>
      <c r="H364" s="869">
        <f>+Report!H344-Report!G344</f>
        <v>26100</v>
      </c>
      <c r="I364" s="868">
        <f>+Report!I344-Report!H344</f>
        <v>26100</v>
      </c>
      <c r="J364" s="868">
        <f>+Report!J344-Report!I344</f>
        <v>0</v>
      </c>
      <c r="K364" s="868">
        <f>+Report!K344-Report!J344</f>
        <v>0</v>
      </c>
      <c r="L364" s="870">
        <f>+Report!L344-Report!K344</f>
        <v>0</v>
      </c>
      <c r="M364" s="866"/>
      <c r="N364" s="864"/>
      <c r="O364" s="90"/>
      <c r="P364" s="90"/>
      <c r="Q364" s="90"/>
      <c r="R364" s="90"/>
      <c r="S364" s="90"/>
      <c r="T364" s="90"/>
      <c r="U364" s="90"/>
      <c r="V364" s="90"/>
    </row>
    <row r="365" spans="1:22" ht="18" customHeight="1">
      <c r="A365" s="392" t="s">
        <v>124</v>
      </c>
      <c r="B365" s="303"/>
      <c r="C365" s="308"/>
      <c r="D365" s="303"/>
      <c r="E365" s="868">
        <f>+Report!E345</f>
        <v>0</v>
      </c>
      <c r="F365" s="868">
        <f>+Report!F345-Report!E345</f>
        <v>116640</v>
      </c>
      <c r="G365" s="868">
        <f>+Report!G345-Report!F345</f>
        <v>19440</v>
      </c>
      <c r="H365" s="869">
        <f ca="1">+Report!H345-Report!G345</f>
        <v>20347.246350000001</v>
      </c>
      <c r="I365" s="868">
        <f ca="1">+Report!I345-Report!H345</f>
        <v>18532.753649999999</v>
      </c>
      <c r="J365" s="868">
        <f>+Report!J345-Report!I345</f>
        <v>0</v>
      </c>
      <c r="K365" s="868">
        <f>+Report!K345-Report!J345</f>
        <v>0</v>
      </c>
      <c r="L365" s="870">
        <f>+Report!L345-Report!K345</f>
        <v>0</v>
      </c>
      <c r="M365" s="866"/>
      <c r="N365" s="864"/>
      <c r="O365" s="90"/>
      <c r="P365" s="90"/>
      <c r="Q365" s="90"/>
      <c r="R365" s="90"/>
      <c r="S365" s="90"/>
      <c r="T365" s="90"/>
      <c r="U365" s="90"/>
      <c r="V365" s="90"/>
    </row>
    <row r="366" spans="1:22" ht="18" customHeight="1">
      <c r="A366" s="392" t="s">
        <v>125</v>
      </c>
      <c r="B366" s="303"/>
      <c r="C366" s="308"/>
      <c r="D366" s="303"/>
      <c r="E366" s="868">
        <f>+Report!E346</f>
        <v>0</v>
      </c>
      <c r="F366" s="868">
        <f>+Report!F346-Report!E346</f>
        <v>70560</v>
      </c>
      <c r="G366" s="868">
        <f>+Report!G346-Report!F346</f>
        <v>11760</v>
      </c>
      <c r="H366" s="869">
        <f>+Report!H346-Report!G346</f>
        <v>11760</v>
      </c>
      <c r="I366" s="868">
        <f>+Report!I346-Report!H346</f>
        <v>11760</v>
      </c>
      <c r="J366" s="868">
        <f>+Report!J346-Report!I346</f>
        <v>0</v>
      </c>
      <c r="K366" s="868">
        <f>+Report!K346-Report!J346</f>
        <v>0</v>
      </c>
      <c r="L366" s="870">
        <f>+Report!L346-Report!K346</f>
        <v>0</v>
      </c>
      <c r="M366" s="866"/>
      <c r="N366" s="864"/>
      <c r="O366" s="90"/>
      <c r="P366" s="90"/>
      <c r="Q366" s="90"/>
      <c r="R366" s="90"/>
      <c r="S366" s="90"/>
      <c r="T366" s="90"/>
      <c r="U366" s="90"/>
      <c r="V366" s="90"/>
    </row>
    <row r="367" spans="1:22" ht="18" customHeight="1">
      <c r="A367" s="392" t="s">
        <v>126</v>
      </c>
      <c r="B367" s="303"/>
      <c r="C367" s="308"/>
      <c r="D367" s="303"/>
      <c r="E367" s="868">
        <f>+Report!E347</f>
        <v>0</v>
      </c>
      <c r="F367" s="868">
        <f>+Report!F347-Report!E347</f>
        <v>259200</v>
      </c>
      <c r="G367" s="868">
        <f>+Report!G347-Report!F347</f>
        <v>43200</v>
      </c>
      <c r="H367" s="869">
        <f>+Report!H347-Report!G347</f>
        <v>43200</v>
      </c>
      <c r="I367" s="868">
        <f>+Report!I347-Report!H347</f>
        <v>43200</v>
      </c>
      <c r="J367" s="868">
        <f>+Report!J347-Report!I347</f>
        <v>0</v>
      </c>
      <c r="K367" s="868">
        <f>+Report!K347-Report!J347</f>
        <v>0</v>
      </c>
      <c r="L367" s="870">
        <f>+Report!L347-Report!K347</f>
        <v>0</v>
      </c>
      <c r="M367" s="866"/>
      <c r="N367" s="864"/>
      <c r="O367" s="90"/>
      <c r="P367" s="90"/>
      <c r="Q367" s="90"/>
      <c r="R367" s="90"/>
      <c r="S367" s="90"/>
      <c r="T367" s="90"/>
      <c r="U367" s="90"/>
      <c r="V367" s="90"/>
    </row>
    <row r="368" spans="1:22" ht="18" customHeight="1">
      <c r="A368" s="392" t="s">
        <v>191</v>
      </c>
      <c r="B368" s="308"/>
      <c r="C368" s="303"/>
      <c r="D368" s="303"/>
      <c r="E368" s="868"/>
      <c r="F368" s="868">
        <f>Report!F255</f>
        <v>72000</v>
      </c>
      <c r="G368" s="868">
        <f>Report!F268</f>
        <v>96000</v>
      </c>
      <c r="H368" s="869">
        <f>Report!F281</f>
        <v>96000</v>
      </c>
      <c r="I368" s="868">
        <f>Report!J249</f>
        <v>96000</v>
      </c>
      <c r="J368" s="868">
        <f>Report!J262</f>
        <v>96000</v>
      </c>
      <c r="K368" s="868">
        <f ca="1">Report!J275</f>
        <v>24000</v>
      </c>
      <c r="L368" s="870">
        <f>+Report!J288</f>
        <v>0</v>
      </c>
      <c r="M368" s="866"/>
      <c r="N368" s="864"/>
      <c r="O368" s="90"/>
      <c r="P368" s="90"/>
      <c r="Q368" s="90"/>
      <c r="R368" s="90"/>
      <c r="S368" s="90"/>
      <c r="T368" s="90"/>
      <c r="U368" s="90"/>
      <c r="V368" s="90"/>
    </row>
    <row r="369" spans="1:22" ht="18" customHeight="1">
      <c r="A369" s="392" t="s">
        <v>192</v>
      </c>
      <c r="B369" s="308"/>
      <c r="C369" s="303"/>
      <c r="D369" s="303"/>
      <c r="E369" s="868"/>
      <c r="F369" s="868">
        <f>Report!F313</f>
        <v>54720</v>
      </c>
      <c r="G369" s="868">
        <f>Report!G313</f>
        <v>43680</v>
      </c>
      <c r="H369" s="869">
        <f>Report!H313</f>
        <v>32160</v>
      </c>
      <c r="I369" s="868">
        <f>Report!I313</f>
        <v>20640</v>
      </c>
      <c r="J369" s="868">
        <f ca="1">Report!J313</f>
        <v>9120</v>
      </c>
      <c r="K369" s="868">
        <f ca="1">Report!K313</f>
        <v>480</v>
      </c>
      <c r="L369" s="870">
        <f ca="1">+Report!L313</f>
        <v>0</v>
      </c>
      <c r="M369" s="866"/>
      <c r="N369" s="864"/>
      <c r="O369" s="90"/>
      <c r="P369" s="90"/>
      <c r="Q369" s="90"/>
      <c r="R369" s="90"/>
      <c r="S369" s="90"/>
      <c r="T369" s="90"/>
      <c r="U369" s="90"/>
      <c r="V369" s="90"/>
    </row>
    <row r="370" spans="1:22" ht="18" customHeight="1">
      <c r="A370" s="393" t="s">
        <v>193</v>
      </c>
      <c r="B370" s="310"/>
      <c r="C370" s="307"/>
      <c r="D370" s="307"/>
      <c r="E370" s="872"/>
      <c r="F370" s="872">
        <f>Report!F314</f>
        <v>56925</v>
      </c>
      <c r="G370" s="872">
        <f ca="1">Report!G314</f>
        <v>68051</v>
      </c>
      <c r="H370" s="873">
        <f ca="1">Report!H314</f>
        <v>76072.25</v>
      </c>
      <c r="I370" s="872">
        <f ca="1">Report!I314</f>
        <v>76072.25</v>
      </c>
      <c r="J370" s="872">
        <f ca="1">Report!J314</f>
        <v>76072.25</v>
      </c>
      <c r="K370" s="872">
        <f ca="1">Report!K314</f>
        <v>76072.25</v>
      </c>
      <c r="L370" s="874">
        <f ca="1">Report!L314</f>
        <v>76072.25</v>
      </c>
      <c r="M370" s="866"/>
      <c r="N370" s="864"/>
      <c r="O370" s="90"/>
      <c r="P370" s="90"/>
      <c r="Q370" s="90"/>
      <c r="R370" s="90"/>
      <c r="S370" s="90"/>
      <c r="T370" s="90"/>
      <c r="U370" s="90"/>
      <c r="V370" s="90"/>
    </row>
    <row r="371" spans="1:22" ht="18" customHeight="1">
      <c r="A371" s="394"/>
      <c r="B371" s="398" t="s">
        <v>194</v>
      </c>
      <c r="C371" s="398"/>
      <c r="D371" s="398"/>
      <c r="E371" s="882">
        <f t="shared" ref="E371:F371" si="71">SUM(E362:E370)</f>
        <v>600000</v>
      </c>
      <c r="F371" s="882">
        <f t="shared" si="71"/>
        <v>786645</v>
      </c>
      <c r="G371" s="882">
        <f t="shared" ref="G371:L371" ca="1" si="72">SUM(G362:G370)</f>
        <v>308231</v>
      </c>
      <c r="H371" s="883">
        <f t="shared" ca="1" si="72"/>
        <v>305639.49635000003</v>
      </c>
      <c r="I371" s="882">
        <f t="shared" ca="1" si="72"/>
        <v>292305.00364999997</v>
      </c>
      <c r="J371" s="882">
        <f t="shared" ca="1" si="72"/>
        <v>181192.25</v>
      </c>
      <c r="K371" s="882">
        <f t="shared" ca="1" si="72"/>
        <v>100552.25</v>
      </c>
      <c r="L371" s="877">
        <f t="shared" ca="1" si="72"/>
        <v>76072.25</v>
      </c>
      <c r="M371" s="866"/>
      <c r="N371" s="864"/>
      <c r="O371" s="90"/>
      <c r="P371" s="90"/>
      <c r="Q371" s="90"/>
      <c r="R371" s="90"/>
      <c r="S371" s="90"/>
      <c r="T371" s="90"/>
      <c r="U371" s="90"/>
      <c r="V371" s="90"/>
    </row>
    <row r="372" spans="1:22" ht="18" customHeight="1">
      <c r="A372" s="399"/>
      <c r="B372" s="400" t="s">
        <v>230</v>
      </c>
      <c r="C372" s="401"/>
      <c r="D372" s="396"/>
      <c r="E372" s="879"/>
      <c r="F372" s="879">
        <f t="shared" ref="F372:G372" si="73">E374</f>
        <v>141500</v>
      </c>
      <c r="G372" s="879">
        <f t="shared" si="73"/>
        <v>10503.5</v>
      </c>
      <c r="H372" s="880">
        <f ca="1">G374</f>
        <v>45882.5</v>
      </c>
      <c r="I372" s="879">
        <f ca="1">H374</f>
        <v>155634.53247500048</v>
      </c>
      <c r="J372" s="879">
        <f ca="1">I374</f>
        <v>319671.50382500049</v>
      </c>
      <c r="K372" s="879">
        <f ca="1">J374</f>
        <v>517829.22882500046</v>
      </c>
      <c r="L372" s="881">
        <f ca="1">K374</f>
        <v>795762.95382500044</v>
      </c>
      <c r="M372" s="866"/>
      <c r="N372" s="864"/>
      <c r="O372" s="90"/>
      <c r="P372" s="90"/>
      <c r="Q372" s="90"/>
      <c r="R372" s="90"/>
      <c r="S372" s="90"/>
      <c r="T372" s="90"/>
      <c r="U372" s="90"/>
      <c r="V372" s="90"/>
    </row>
    <row r="373" spans="1:22" ht="18" customHeight="1">
      <c r="A373" s="392"/>
      <c r="B373" s="312" t="s">
        <v>231</v>
      </c>
      <c r="C373" s="308"/>
      <c r="D373" s="303"/>
      <c r="E373" s="868">
        <f>E361-E371</f>
        <v>141500</v>
      </c>
      <c r="F373" s="868">
        <f>F361-F371</f>
        <v>-130996.5</v>
      </c>
      <c r="G373" s="868">
        <f ca="1">G361-G371</f>
        <v>35379</v>
      </c>
      <c r="H373" s="869">
        <f ca="1">H361-H371</f>
        <v>109752.03247500048</v>
      </c>
      <c r="I373" s="868">
        <f ca="1">I361-I371+P3452</f>
        <v>164036.97135000004</v>
      </c>
      <c r="J373" s="868">
        <f ca="1">J361-J371+P3452</f>
        <v>198157.72500000001</v>
      </c>
      <c r="K373" s="868">
        <f ca="1">K361-K371+P3452</f>
        <v>277933.72499999998</v>
      </c>
      <c r="L373" s="870">
        <f ca="1">L361-L371+P3452</f>
        <v>302365.72499999998</v>
      </c>
      <c r="M373" s="866"/>
      <c r="N373" s="864"/>
      <c r="O373" s="90"/>
      <c r="P373" s="90"/>
      <c r="Q373" s="90"/>
      <c r="R373" s="90"/>
      <c r="S373" s="90"/>
      <c r="T373" s="90"/>
      <c r="U373" s="90"/>
      <c r="V373" s="90"/>
    </row>
    <row r="374" spans="1:22" ht="18" customHeight="1" thickBot="1">
      <c r="A374" s="402"/>
      <c r="B374" s="403" t="s">
        <v>232</v>
      </c>
      <c r="C374" s="404"/>
      <c r="D374" s="404"/>
      <c r="E374" s="884">
        <f t="shared" ref="E374:F374" si="74">E372+E373</f>
        <v>141500</v>
      </c>
      <c r="F374" s="884">
        <f t="shared" si="74"/>
        <v>10503.5</v>
      </c>
      <c r="G374" s="884">
        <f t="shared" ref="G374:L374" ca="1" si="75">G372+G373</f>
        <v>45882.5</v>
      </c>
      <c r="H374" s="885">
        <f t="shared" ca="1" si="75"/>
        <v>155634.53247500048</v>
      </c>
      <c r="I374" s="884">
        <f t="shared" ca="1" si="75"/>
        <v>319671.50382500049</v>
      </c>
      <c r="J374" s="884">
        <f t="shared" ca="1" si="75"/>
        <v>517829.22882500046</v>
      </c>
      <c r="K374" s="884">
        <f t="shared" ca="1" si="75"/>
        <v>795762.95382500044</v>
      </c>
      <c r="L374" s="886">
        <f t="shared" ca="1" si="75"/>
        <v>1098128.6788250003</v>
      </c>
      <c r="M374" s="866"/>
      <c r="N374" s="864"/>
      <c r="O374" s="90"/>
      <c r="P374" s="90"/>
      <c r="Q374" s="90"/>
      <c r="R374" s="90"/>
      <c r="S374" s="90"/>
      <c r="T374" s="90"/>
      <c r="U374" s="90"/>
      <c r="V374" s="90"/>
    </row>
    <row r="375" spans="1:22" ht="18" customHeight="1" thickTop="1">
      <c r="B375" s="90"/>
      <c r="C375" s="90"/>
      <c r="D375" s="90"/>
      <c r="E375" s="90"/>
      <c r="F375" s="90"/>
      <c r="G375" s="90"/>
      <c r="H375" s="101"/>
      <c r="I375" s="90"/>
      <c r="J375" s="90"/>
      <c r="K375" s="90"/>
      <c r="L375" s="90"/>
      <c r="M375" s="866"/>
      <c r="N375" s="864"/>
      <c r="O375" s="90"/>
      <c r="P375" s="90"/>
      <c r="Q375" s="90"/>
      <c r="R375" s="90"/>
      <c r="S375" s="90"/>
      <c r="T375" s="90"/>
      <c r="U375" s="90"/>
      <c r="V375" s="90"/>
    </row>
    <row r="376" spans="1:22" ht="9" customHeight="1" thickBot="1">
      <c r="A376" s="132"/>
      <c r="B376" s="32"/>
      <c r="C376" s="32"/>
      <c r="D376" s="32"/>
      <c r="E376" s="46"/>
      <c r="F376" s="46"/>
      <c r="G376" s="46"/>
      <c r="H376" s="108"/>
      <c r="I376" s="46"/>
      <c r="J376" s="46"/>
      <c r="K376" s="46"/>
      <c r="L376" s="46"/>
      <c r="M376" s="866"/>
      <c r="N376" s="864"/>
      <c r="O376" s="90"/>
      <c r="P376" s="90"/>
      <c r="Q376" s="90"/>
      <c r="R376" s="90"/>
      <c r="S376" s="90"/>
      <c r="T376" s="90"/>
      <c r="U376" s="90"/>
      <c r="V376" s="90"/>
    </row>
    <row r="377" spans="1:22" ht="18" customHeight="1" thickTop="1">
      <c r="A377" s="129"/>
      <c r="B377" s="1287" t="s">
        <v>573</v>
      </c>
      <c r="C377" s="1288"/>
      <c r="D377" s="1288"/>
      <c r="E377" s="1288"/>
      <c r="F377" s="1288"/>
      <c r="G377" s="1288"/>
      <c r="H377" s="1288"/>
      <c r="I377" s="1288"/>
      <c r="J377" s="1288"/>
      <c r="K377" s="1288"/>
      <c r="L377" s="840" t="str">
        <f>CONCATENATE("--  P. ",C39," --")</f>
        <v>--  P. 9 --</v>
      </c>
      <c r="M377" s="866"/>
      <c r="N377" s="864"/>
      <c r="O377" s="90"/>
      <c r="P377" s="90"/>
      <c r="Q377" s="90"/>
      <c r="R377" s="90"/>
      <c r="S377" s="90"/>
      <c r="T377" s="90"/>
      <c r="U377" s="90"/>
      <c r="V377" s="90"/>
    </row>
    <row r="378" spans="1:22" ht="14.1" customHeight="1">
      <c r="A378" s="133"/>
      <c r="B378" s="1356"/>
      <c r="C378" s="1357"/>
      <c r="D378" s="1357"/>
      <c r="E378" s="1357"/>
      <c r="F378" s="1357"/>
      <c r="G378" s="1358"/>
      <c r="H378" s="298" t="s">
        <v>213</v>
      </c>
      <c r="I378" s="298" t="s">
        <v>214</v>
      </c>
      <c r="J378" s="298" t="s">
        <v>215</v>
      </c>
      <c r="K378" s="298" t="s">
        <v>216</v>
      </c>
      <c r="L378" s="425" t="s">
        <v>217</v>
      </c>
      <c r="M378" s="866"/>
      <c r="N378" s="864"/>
      <c r="O378" s="90"/>
      <c r="P378" s="90"/>
      <c r="Q378" s="90"/>
      <c r="R378" s="90"/>
      <c r="S378" s="90"/>
      <c r="T378" s="90"/>
      <c r="U378" s="90"/>
      <c r="V378" s="90"/>
    </row>
    <row r="379" spans="1:22" ht="14.1" customHeight="1">
      <c r="A379" s="133"/>
      <c r="B379" s="1388" t="s">
        <v>218</v>
      </c>
      <c r="C379" s="1389"/>
      <c r="D379" s="1389"/>
      <c r="E379" s="1389"/>
      <c r="F379" s="1389"/>
      <c r="G379" s="1390"/>
      <c r="H379" s="298" t="s">
        <v>106</v>
      </c>
      <c r="I379" s="300" t="s">
        <v>21</v>
      </c>
      <c r="J379" s="301"/>
      <c r="K379" s="301"/>
      <c r="L379" s="426"/>
      <c r="M379" s="866"/>
      <c r="N379" s="864"/>
      <c r="O379" s="90"/>
      <c r="P379" s="90"/>
      <c r="Q379" s="90"/>
      <c r="R379" s="90"/>
      <c r="S379" s="90"/>
      <c r="T379" s="90"/>
      <c r="U379" s="90"/>
      <c r="V379" s="90"/>
    </row>
    <row r="380" spans="1:22" ht="18" customHeight="1">
      <c r="A380" s="129"/>
      <c r="B380" s="1348" t="s">
        <v>435</v>
      </c>
      <c r="C380" s="1349"/>
      <c r="D380" s="1349"/>
      <c r="E380" s="1349"/>
      <c r="F380" s="1350"/>
      <c r="G380" s="435"/>
      <c r="H380" s="887">
        <f>'Data Feeding'!H95</f>
        <v>30</v>
      </c>
      <c r="I380" s="888">
        <f>+I164/'Data Feeding'!$F$34*$H$380</f>
        <v>156600</v>
      </c>
      <c r="J380" s="888">
        <f>+J164/'Data Feeding'!$F$34*$H$380</f>
        <v>182700</v>
      </c>
      <c r="K380" s="888">
        <f>+K164/'Data Feeding'!$F$34*$H$380</f>
        <v>208800</v>
      </c>
      <c r="L380" s="889">
        <f>+L164/'Data Feeding'!$F$34*$H$380</f>
        <v>234900</v>
      </c>
      <c r="M380" s="866"/>
      <c r="N380" s="864"/>
      <c r="O380" s="90"/>
      <c r="P380" s="90"/>
      <c r="Q380" s="90"/>
      <c r="R380" s="90"/>
      <c r="S380" s="90"/>
      <c r="T380" s="90"/>
      <c r="U380" s="90"/>
      <c r="V380" s="90"/>
    </row>
    <row r="381" spans="1:22" ht="18" customHeight="1">
      <c r="A381" s="129"/>
      <c r="B381" s="1348" t="s">
        <v>436</v>
      </c>
      <c r="C381" s="1349"/>
      <c r="D381" s="1349"/>
      <c r="E381" s="1349"/>
      <c r="F381" s="1349"/>
      <c r="G381" s="1350"/>
      <c r="H381" s="887">
        <f>'Data Feeding'!H96</f>
        <v>7</v>
      </c>
      <c r="I381" s="890">
        <f>+Report!H149*H381/'Data Feeding'!F34*0.7</f>
        <v>70560</v>
      </c>
      <c r="J381" s="890">
        <f>+I381/F299*G299</f>
        <v>82320</v>
      </c>
      <c r="K381" s="890">
        <f>+J381/G299*H299</f>
        <v>94080</v>
      </c>
      <c r="L381" s="891">
        <f>+K381/H299*I299</f>
        <v>105840</v>
      </c>
      <c r="M381" s="866"/>
      <c r="N381" s="864"/>
      <c r="O381" s="90"/>
      <c r="P381" s="90"/>
      <c r="Q381" s="90"/>
      <c r="R381" s="90"/>
      <c r="S381" s="90"/>
      <c r="T381" s="90"/>
      <c r="U381" s="90"/>
      <c r="V381" s="90"/>
    </row>
    <row r="382" spans="1:22" ht="18" customHeight="1">
      <c r="A382" s="129"/>
      <c r="B382" s="1348" t="s">
        <v>437</v>
      </c>
      <c r="C382" s="1349"/>
      <c r="D382" s="1349"/>
      <c r="E382" s="1349"/>
      <c r="F382" s="1349"/>
      <c r="G382" s="1350"/>
      <c r="H382" s="887">
        <f>'Data Feeding'!H97</f>
        <v>15</v>
      </c>
      <c r="I382" s="890">
        <f>+I149/'Data Feeding'!$F$34*$H$382*0.9</f>
        <v>116640</v>
      </c>
      <c r="J382" s="890">
        <f>+J149/'Data Feeding'!$F$34*$H$382*0.9</f>
        <v>136080</v>
      </c>
      <c r="K382" s="890">
        <f ca="1">+K149/'Data Feeding'!$F$34*$H$382*0.9</f>
        <v>156427.24635</v>
      </c>
      <c r="L382" s="891">
        <f>+L149/'Data Feeding'!$F$34*$H$382*0.9</f>
        <v>174960</v>
      </c>
      <c r="M382" s="866"/>
      <c r="N382" s="864"/>
      <c r="O382" s="90"/>
      <c r="P382" s="90"/>
      <c r="Q382" s="90"/>
      <c r="R382" s="90"/>
      <c r="S382" s="90"/>
      <c r="T382" s="90"/>
      <c r="U382" s="90"/>
      <c r="V382" s="90"/>
    </row>
    <row r="383" spans="1:22" ht="18" customHeight="1">
      <c r="A383" s="129"/>
      <c r="B383" s="1348" t="s">
        <v>438</v>
      </c>
      <c r="C383" s="1349"/>
      <c r="D383" s="1349"/>
      <c r="E383" s="1349"/>
      <c r="F383" s="1349"/>
      <c r="G383" s="1350"/>
      <c r="H383" s="887">
        <f>'Data Feeding'!H98</f>
        <v>30</v>
      </c>
      <c r="I383" s="890">
        <f>+I149/'Data Feeding'!F34*H383</f>
        <v>259200</v>
      </c>
      <c r="J383" s="890">
        <f>+I383/I139*J139</f>
        <v>302400</v>
      </c>
      <c r="K383" s="890">
        <f>+J383/J139*K139</f>
        <v>345600</v>
      </c>
      <c r="L383" s="891">
        <f>+K383/K139*L139</f>
        <v>388800</v>
      </c>
      <c r="M383" s="866"/>
      <c r="N383" s="864"/>
      <c r="O383" s="90"/>
      <c r="P383" s="90"/>
      <c r="Q383" s="90"/>
      <c r="R383" s="90"/>
      <c r="S383" s="90"/>
      <c r="T383" s="90"/>
      <c r="U383" s="90"/>
      <c r="V383" s="90"/>
    </row>
    <row r="384" spans="1:22" ht="18" customHeight="1">
      <c r="A384" s="129"/>
      <c r="B384" s="1359" t="s">
        <v>248</v>
      </c>
      <c r="C384" s="1360"/>
      <c r="D384" s="1360"/>
      <c r="E384" s="1360"/>
      <c r="F384" s="1360"/>
      <c r="G384" s="1360"/>
      <c r="H384" s="892"/>
      <c r="I384" s="868">
        <f>SUM(I380:I383)</f>
        <v>603000</v>
      </c>
      <c r="J384" s="868">
        <f>SUM(J380:J383)</f>
        <v>703500</v>
      </c>
      <c r="K384" s="868">
        <f ca="1">SUM(K380:K383)</f>
        <v>804907.24635000003</v>
      </c>
      <c r="L384" s="870">
        <f>SUM(L380:L383)</f>
        <v>904500</v>
      </c>
      <c r="M384" s="866"/>
      <c r="N384" s="864"/>
      <c r="O384" s="90"/>
      <c r="P384" s="90"/>
      <c r="Q384" s="90"/>
      <c r="R384" s="90"/>
      <c r="S384" s="90"/>
      <c r="T384" s="90"/>
      <c r="U384" s="90"/>
      <c r="V384" s="90"/>
    </row>
    <row r="385" spans="1:22" ht="18" customHeight="1">
      <c r="A385" s="129"/>
      <c r="B385" s="1391" t="s">
        <v>434</v>
      </c>
      <c r="C385" s="1392"/>
      <c r="D385" s="1392"/>
      <c r="E385" s="1392"/>
      <c r="F385" s="1392"/>
      <c r="G385" s="1393"/>
      <c r="H385" s="887">
        <f>'Data Feeding'!H99</f>
        <v>7</v>
      </c>
      <c r="I385" s="888">
        <f>+I164*H385/'Data Feeding'!F34</f>
        <v>36540</v>
      </c>
      <c r="J385" s="888">
        <f>+I385/I139*J139</f>
        <v>42630</v>
      </c>
      <c r="K385" s="888">
        <f>+J385/J139*K139</f>
        <v>48720</v>
      </c>
      <c r="L385" s="889">
        <f>+K385/K139*L139</f>
        <v>54810</v>
      </c>
      <c r="M385" s="866"/>
      <c r="N385" s="864"/>
      <c r="O385" s="90"/>
      <c r="P385" s="90"/>
      <c r="Q385" s="90"/>
      <c r="R385" s="90"/>
      <c r="S385" s="90"/>
      <c r="T385" s="90"/>
      <c r="U385" s="90"/>
      <c r="V385" s="90"/>
    </row>
    <row r="386" spans="1:22" ht="18" customHeight="1">
      <c r="A386" s="129"/>
      <c r="B386" s="1348" t="s">
        <v>220</v>
      </c>
      <c r="C386" s="1349"/>
      <c r="D386" s="1349"/>
      <c r="E386" s="1349"/>
      <c r="F386" s="1349"/>
      <c r="G386" s="1350"/>
      <c r="H386" s="887"/>
      <c r="I386" s="868">
        <f>ROUNDDOWN(+I384-I385,0)</f>
        <v>566460</v>
      </c>
      <c r="J386" s="868">
        <f>ROUNDDOWN(+J384-J385,0)</f>
        <v>660870</v>
      </c>
      <c r="K386" s="868">
        <f ca="1">ROUNDDOWN(+K384-K385,0)</f>
        <v>756187</v>
      </c>
      <c r="L386" s="870">
        <f>ROUNDDOWN(+L384-L385,0)</f>
        <v>849690</v>
      </c>
      <c r="M386" s="866"/>
      <c r="N386" s="864"/>
      <c r="O386" s="90"/>
      <c r="P386" s="90"/>
      <c r="Q386" s="90"/>
      <c r="R386" s="90"/>
      <c r="S386" s="90"/>
      <c r="T386" s="90"/>
      <c r="U386" s="90"/>
      <c r="V386" s="90"/>
    </row>
    <row r="387" spans="1:22" ht="18" customHeight="1">
      <c r="A387" s="129"/>
      <c r="B387" s="1394" t="str">
        <f>'Data Feeding'!B100</f>
        <v xml:space="preserve"> (Rounded to '000)---&gt;</v>
      </c>
      <c r="C387" s="1395"/>
      <c r="D387" s="1395"/>
      <c r="E387" s="1395"/>
      <c r="F387" s="1395"/>
      <c r="G387" s="1396"/>
      <c r="H387" s="893"/>
      <c r="I387" s="868">
        <f>ROUNDDOWN(+$I$384-$I$385,-3)</f>
        <v>566000</v>
      </c>
      <c r="J387" s="868">
        <f>ROUNDDOWN(+J384-J385,-3)</f>
        <v>660000</v>
      </c>
      <c r="K387" s="868">
        <f ca="1">ROUNDDOWN(+K384-K385,-3)</f>
        <v>756000</v>
      </c>
      <c r="L387" s="870">
        <f>ROUNDDOWN(+L384-L385,-3)</f>
        <v>849000</v>
      </c>
      <c r="M387" s="866"/>
      <c r="N387" s="864"/>
      <c r="O387" s="90"/>
      <c r="P387" s="90"/>
      <c r="Q387" s="90"/>
      <c r="R387" s="90"/>
      <c r="S387" s="90"/>
      <c r="T387" s="90"/>
      <c r="U387" s="90"/>
      <c r="V387" s="90"/>
    </row>
    <row r="388" spans="1:22" ht="18" customHeight="1">
      <c r="A388" s="129"/>
      <c r="B388" s="1348" t="s">
        <v>268</v>
      </c>
      <c r="C388" s="1349"/>
      <c r="D388" s="1349"/>
      <c r="E388" s="1349"/>
      <c r="F388" s="1349"/>
      <c r="G388" s="1350"/>
      <c r="H388" s="894">
        <f>+'Data Feeding'!H107</f>
        <v>25</v>
      </c>
      <c r="I388" s="868">
        <f>+'Data Feeding'!I107</f>
        <v>141500</v>
      </c>
      <c r="J388" s="868">
        <f>J387-J390</f>
        <v>165000</v>
      </c>
      <c r="K388" s="868">
        <f ca="1">K387-K390</f>
        <v>189000</v>
      </c>
      <c r="L388" s="870">
        <f>L387-L390</f>
        <v>212250</v>
      </c>
      <c r="M388" s="866"/>
      <c r="N388" s="864"/>
      <c r="O388" s="90"/>
      <c r="P388" s="90"/>
      <c r="Q388" s="90"/>
      <c r="R388" s="90"/>
      <c r="S388" s="90"/>
      <c r="T388" s="90"/>
      <c r="U388" s="90"/>
      <c r="V388" s="90"/>
    </row>
    <row r="389" spans="1:22" ht="14.1" customHeight="1">
      <c r="A389" s="129"/>
      <c r="B389" s="1394" t="s">
        <v>261</v>
      </c>
      <c r="C389" s="1395"/>
      <c r="D389" s="1395"/>
      <c r="E389" s="1395"/>
      <c r="F389" s="1395"/>
      <c r="G389" s="1396"/>
      <c r="H389" s="894"/>
      <c r="I389" s="868"/>
      <c r="J389" s="868"/>
      <c r="K389" s="868"/>
      <c r="L389" s="870"/>
      <c r="M389" s="866"/>
      <c r="N389" s="864"/>
      <c r="O389" s="90"/>
      <c r="P389" s="90"/>
      <c r="Q389" s="90"/>
      <c r="R389" s="90"/>
      <c r="S389" s="90"/>
      <c r="T389" s="90"/>
      <c r="U389" s="90"/>
      <c r="V389" s="90"/>
    </row>
    <row r="390" spans="1:22" ht="18" customHeight="1" thickBot="1">
      <c r="A390" s="129"/>
      <c r="B390" s="1367" t="s">
        <v>262</v>
      </c>
      <c r="C390" s="1368"/>
      <c r="D390" s="1368"/>
      <c r="E390" s="1368"/>
      <c r="F390" s="1368"/>
      <c r="G390" s="1369"/>
      <c r="H390" s="895">
        <f>+'Data Feeding'!J107</f>
        <v>75</v>
      </c>
      <c r="I390" s="884">
        <f>+'Data Feeding'!K107</f>
        <v>424500</v>
      </c>
      <c r="J390" s="884">
        <f>+J387*$H$390/100</f>
        <v>495000</v>
      </c>
      <c r="K390" s="884">
        <f ca="1">+K387*$H$390/100</f>
        <v>567000</v>
      </c>
      <c r="L390" s="886">
        <f t="shared" ref="L390" si="76">+L387*$H$390/100</f>
        <v>636750</v>
      </c>
      <c r="M390" s="866"/>
      <c r="N390" s="864"/>
      <c r="O390" s="90"/>
      <c r="P390" s="90"/>
      <c r="Q390" s="90"/>
      <c r="R390" s="90"/>
      <c r="S390" s="90"/>
      <c r="T390" s="90"/>
      <c r="U390" s="90"/>
      <c r="V390" s="90"/>
    </row>
    <row r="391" spans="1:22" ht="13.5" customHeight="1" thickTop="1" thickBot="1">
      <c r="A391" s="129"/>
      <c r="B391" s="4"/>
      <c r="C391" s="4"/>
      <c r="D391" s="82"/>
      <c r="E391" s="82"/>
      <c r="F391" s="82"/>
      <c r="G391" s="82"/>
      <c r="H391" s="64"/>
      <c r="I391" s="82"/>
      <c r="J391" s="82"/>
      <c r="K391" s="82"/>
      <c r="L391" s="82"/>
      <c r="M391" s="866"/>
      <c r="N391" s="864"/>
      <c r="O391" s="90"/>
      <c r="P391" s="90"/>
      <c r="Q391" s="90"/>
      <c r="R391" s="90"/>
      <c r="S391" s="90"/>
      <c r="T391" s="90"/>
      <c r="U391" s="90"/>
      <c r="V391" s="90"/>
    </row>
    <row r="392" spans="1:22" ht="18" customHeight="1" thickTop="1">
      <c r="A392" s="129"/>
      <c r="B392" s="1345" t="s">
        <v>51</v>
      </c>
      <c r="C392" s="1346"/>
      <c r="D392" s="1346"/>
      <c r="E392" s="1346"/>
      <c r="F392" s="1346"/>
      <c r="G392" s="1346"/>
      <c r="H392" s="1346"/>
      <c r="I392" s="1346"/>
      <c r="J392" s="1346"/>
      <c r="K392" s="1346"/>
      <c r="L392" s="1347"/>
      <c r="M392" s="866"/>
      <c r="N392" s="864"/>
      <c r="O392" s="90"/>
      <c r="P392" s="90"/>
      <c r="Q392" s="90"/>
      <c r="R392" s="90"/>
      <c r="S392" s="90"/>
      <c r="T392" s="90"/>
      <c r="U392" s="90"/>
      <c r="V392" s="90"/>
    </row>
    <row r="393" spans="1:22" ht="14.1" customHeight="1">
      <c r="A393" s="129"/>
      <c r="B393" s="1353"/>
      <c r="C393" s="1354"/>
      <c r="D393" s="1354"/>
      <c r="E393" s="1355"/>
      <c r="F393" s="746" t="str">
        <f>+Report!F352</f>
        <v>1st</v>
      </c>
      <c r="G393" s="746" t="str">
        <f>+Report!G352</f>
        <v>2nd</v>
      </c>
      <c r="H393" s="746" t="str">
        <f>+Report!H352</f>
        <v>3rd</v>
      </c>
      <c r="I393" s="746" t="str">
        <f>+Report!I352</f>
        <v>4th</v>
      </c>
      <c r="J393" s="746" t="str">
        <f>+Report!J352</f>
        <v>5th</v>
      </c>
      <c r="K393" s="746" t="str">
        <f>+Report!K352</f>
        <v>6th</v>
      </c>
      <c r="L393" s="747" t="str">
        <f>+Report!L352</f>
        <v>7th</v>
      </c>
      <c r="M393" s="866"/>
      <c r="N393" s="864"/>
      <c r="O393" s="90"/>
      <c r="P393" s="90"/>
      <c r="Q393" s="90"/>
      <c r="R393" s="90"/>
      <c r="S393" s="90"/>
      <c r="T393" s="90"/>
      <c r="U393" s="90"/>
      <c r="V393" s="90"/>
    </row>
    <row r="394" spans="1:22" ht="14.1" customHeight="1">
      <c r="A394" s="129"/>
      <c r="B394" s="1356" t="s">
        <v>119</v>
      </c>
      <c r="C394" s="1357"/>
      <c r="D394" s="1357"/>
      <c r="E394" s="1358"/>
      <c r="F394" s="670" t="str">
        <f>+Report!F353</f>
        <v xml:space="preserve"> 2020-21</v>
      </c>
      <c r="G394" s="670" t="str">
        <f>+Report!G353</f>
        <v xml:space="preserve"> 2021-22</v>
      </c>
      <c r="H394" s="670" t="str">
        <f>+Report!H353</f>
        <v xml:space="preserve"> 2022-23</v>
      </c>
      <c r="I394" s="670" t="str">
        <f>+Report!I353</f>
        <v xml:space="preserve"> 2023-24</v>
      </c>
      <c r="J394" s="670" t="str">
        <f>+Report!J353</f>
        <v xml:space="preserve"> 2024-25</v>
      </c>
      <c r="K394" s="670" t="str">
        <f>+Report!K353</f>
        <v xml:space="preserve"> 2025-26</v>
      </c>
      <c r="L394" s="671" t="str">
        <f>+Report!L353</f>
        <v xml:space="preserve"> 2026-27</v>
      </c>
      <c r="M394" s="866"/>
      <c r="N394" s="864"/>
      <c r="O394" s="90"/>
      <c r="P394" s="90"/>
      <c r="Q394" s="90"/>
      <c r="R394" s="90"/>
      <c r="S394" s="90"/>
      <c r="T394" s="90"/>
      <c r="U394" s="90"/>
      <c r="V394" s="90"/>
    </row>
    <row r="395" spans="1:22" ht="14.1" customHeight="1">
      <c r="A395" s="129"/>
      <c r="B395" s="1359" t="s">
        <v>19</v>
      </c>
      <c r="C395" s="1360"/>
      <c r="D395" s="1360"/>
      <c r="E395" s="1361"/>
      <c r="F395" s="670">
        <f>+'Data Feeding'!F38</f>
        <v>60</v>
      </c>
      <c r="G395" s="670">
        <f>+'Data Feeding'!G38</f>
        <v>70</v>
      </c>
      <c r="H395" s="670">
        <f>+'Data Feeding'!H38</f>
        <v>80</v>
      </c>
      <c r="I395" s="670">
        <f>+'Data Feeding'!I38</f>
        <v>90</v>
      </c>
      <c r="J395" s="670">
        <f>+I395</f>
        <v>90</v>
      </c>
      <c r="K395" s="670">
        <f>+J395</f>
        <v>90</v>
      </c>
      <c r="L395" s="671">
        <f>+K395</f>
        <v>90</v>
      </c>
      <c r="M395" s="866"/>
      <c r="N395" s="864"/>
      <c r="O395" s="90"/>
      <c r="P395" s="90"/>
      <c r="Q395" s="90"/>
      <c r="R395" s="90"/>
      <c r="S395" s="90"/>
      <c r="T395" s="90"/>
      <c r="U395" s="90"/>
      <c r="V395" s="90"/>
    </row>
    <row r="396" spans="1:22" ht="18" customHeight="1">
      <c r="A396" s="129"/>
      <c r="B396" s="1362" t="s">
        <v>221</v>
      </c>
      <c r="C396" s="1363"/>
      <c r="D396" s="1363"/>
      <c r="E396" s="1364"/>
      <c r="F396" s="896">
        <f>+I149</f>
        <v>2592000</v>
      </c>
      <c r="G396" s="896">
        <f>Report!G302</f>
        <v>3024000</v>
      </c>
      <c r="H396" s="897">
        <f ca="1">Report!H302</f>
        <v>3476161.0300000003</v>
      </c>
      <c r="I396" s="896">
        <f>Report!I302</f>
        <v>3888000</v>
      </c>
      <c r="J396" s="896">
        <f>Report!J302</f>
        <v>3888000</v>
      </c>
      <c r="K396" s="896">
        <f>Report!K302</f>
        <v>3888000</v>
      </c>
      <c r="L396" s="898">
        <f>Report!L302</f>
        <v>3888000</v>
      </c>
      <c r="M396" s="866"/>
      <c r="N396" s="864"/>
      <c r="O396" s="90"/>
      <c r="P396" s="90"/>
      <c r="Q396" s="90"/>
      <c r="R396" s="90"/>
      <c r="S396" s="90"/>
      <c r="T396" s="90"/>
      <c r="U396" s="90"/>
      <c r="V396" s="90"/>
    </row>
    <row r="397" spans="1:22" ht="15.95" customHeight="1">
      <c r="A397" s="129"/>
      <c r="B397" s="748" t="s">
        <v>238</v>
      </c>
      <c r="C397" s="749"/>
      <c r="D397" s="749"/>
      <c r="E397" s="750"/>
      <c r="F397" s="751"/>
      <c r="G397" s="751"/>
      <c r="H397" s="752"/>
      <c r="I397" s="751"/>
      <c r="J397" s="751"/>
      <c r="K397" s="751"/>
      <c r="L397" s="753"/>
      <c r="M397" s="866"/>
      <c r="N397" s="864"/>
      <c r="O397" s="90"/>
      <c r="P397" s="90"/>
      <c r="Q397" s="90"/>
      <c r="R397" s="90"/>
      <c r="S397" s="90"/>
      <c r="T397" s="90"/>
      <c r="U397" s="90"/>
      <c r="V397" s="90"/>
    </row>
    <row r="398" spans="1:22" ht="18" customHeight="1">
      <c r="A398" s="129"/>
      <c r="B398" s="427"/>
      <c r="C398" s="303" t="s">
        <v>30</v>
      </c>
      <c r="D398" s="303"/>
      <c r="E398" s="428"/>
      <c r="F398" s="868">
        <f>+F304</f>
        <v>1566000</v>
      </c>
      <c r="G398" s="868">
        <f t="shared" ref="G398:K398" si="77">+G304</f>
        <v>1827000</v>
      </c>
      <c r="H398" s="868">
        <f t="shared" si="77"/>
        <v>2088000</v>
      </c>
      <c r="I398" s="868">
        <f t="shared" si="77"/>
        <v>2349000</v>
      </c>
      <c r="J398" s="868">
        <f t="shared" si="77"/>
        <v>2349000</v>
      </c>
      <c r="K398" s="868">
        <f t="shared" si="77"/>
        <v>2349000</v>
      </c>
      <c r="L398" s="870">
        <f>+K398</f>
        <v>2349000</v>
      </c>
      <c r="M398" s="866"/>
      <c r="N398" s="864"/>
      <c r="O398" s="90"/>
      <c r="P398" s="90"/>
      <c r="Q398" s="90"/>
      <c r="R398" s="90"/>
      <c r="S398" s="90"/>
      <c r="T398" s="90"/>
      <c r="U398" s="90"/>
      <c r="V398" s="90"/>
    </row>
    <row r="399" spans="1:22" ht="18" customHeight="1">
      <c r="A399" s="129"/>
      <c r="B399" s="427"/>
      <c r="C399" s="303" t="s">
        <v>31</v>
      </c>
      <c r="D399" s="303"/>
      <c r="E399" s="428"/>
      <c r="F399" s="868">
        <f>+I190</f>
        <v>18000</v>
      </c>
      <c r="G399" s="868">
        <f>Report!G305</f>
        <v>21000</v>
      </c>
      <c r="H399" s="869">
        <f>Report!H305</f>
        <v>24000</v>
      </c>
      <c r="I399" s="868">
        <f>Report!I305</f>
        <v>27000</v>
      </c>
      <c r="J399" s="868">
        <f>Report!J305</f>
        <v>27000</v>
      </c>
      <c r="K399" s="868">
        <f>Report!K305</f>
        <v>27000</v>
      </c>
      <c r="L399" s="870">
        <f>Report!L305</f>
        <v>27000</v>
      </c>
      <c r="M399" s="866"/>
      <c r="N399" s="864"/>
      <c r="O399" s="90"/>
      <c r="P399" s="90"/>
      <c r="Q399" s="90"/>
      <c r="R399" s="90"/>
      <c r="S399" s="90"/>
      <c r="T399" s="90"/>
      <c r="U399" s="90"/>
      <c r="V399" s="90"/>
    </row>
    <row r="400" spans="1:22" ht="18" customHeight="1">
      <c r="A400" s="129"/>
      <c r="B400" s="427"/>
      <c r="C400" s="303" t="s">
        <v>253</v>
      </c>
      <c r="D400" s="303"/>
      <c r="E400" s="428"/>
      <c r="F400" s="868">
        <f>+I194</f>
        <v>80640</v>
      </c>
      <c r="G400" s="868">
        <f>Report!G306</f>
        <v>94080</v>
      </c>
      <c r="H400" s="869">
        <f>Report!H306</f>
        <v>107520</v>
      </c>
      <c r="I400" s="868">
        <f>Report!I306</f>
        <v>120960</v>
      </c>
      <c r="J400" s="868">
        <f>Report!J306</f>
        <v>120960</v>
      </c>
      <c r="K400" s="868">
        <f>Report!K306</f>
        <v>120960</v>
      </c>
      <c r="L400" s="870">
        <f>Report!L306</f>
        <v>120960</v>
      </c>
      <c r="M400" s="866"/>
      <c r="N400" s="864"/>
      <c r="O400" s="90"/>
      <c r="P400" s="90"/>
      <c r="Q400" s="90"/>
      <c r="R400" s="90"/>
      <c r="S400" s="90"/>
      <c r="T400" s="90"/>
      <c r="U400" s="90"/>
      <c r="V400" s="90"/>
    </row>
    <row r="401" spans="1:22" ht="18" customHeight="1">
      <c r="A401" s="129"/>
      <c r="B401" s="427"/>
      <c r="C401" s="303" t="s">
        <v>239</v>
      </c>
      <c r="D401" s="303"/>
      <c r="E401" s="428"/>
      <c r="F401" s="868">
        <f>+Report!I182</f>
        <v>384000</v>
      </c>
      <c r="G401" s="868">
        <f>+Report!J182</f>
        <v>448000</v>
      </c>
      <c r="H401" s="869">
        <f>+Report!K182</f>
        <v>512000</v>
      </c>
      <c r="I401" s="868">
        <f>+Report!L182</f>
        <v>576000</v>
      </c>
      <c r="J401" s="868">
        <f>+I401</f>
        <v>576000</v>
      </c>
      <c r="K401" s="868">
        <f>+J401</f>
        <v>576000</v>
      </c>
      <c r="L401" s="870">
        <f>+K401</f>
        <v>576000</v>
      </c>
      <c r="M401" s="866"/>
      <c r="N401" s="864"/>
      <c r="O401" s="90"/>
      <c r="P401" s="90"/>
      <c r="Q401" s="90"/>
      <c r="R401" s="90"/>
      <c r="S401" s="90"/>
      <c r="T401" s="90"/>
      <c r="U401" s="90"/>
      <c r="V401" s="90"/>
    </row>
    <row r="402" spans="1:22" ht="18" customHeight="1">
      <c r="A402" s="129"/>
      <c r="B402" s="427"/>
      <c r="C402" s="303" t="s">
        <v>219</v>
      </c>
      <c r="D402" s="303"/>
      <c r="E402" s="428"/>
      <c r="F402" s="868">
        <f>+I218</f>
        <v>25920</v>
      </c>
      <c r="G402" s="868">
        <f>Report!G308</f>
        <v>30240</v>
      </c>
      <c r="H402" s="869">
        <f ca="1">Report!H308</f>
        <v>34761.6103</v>
      </c>
      <c r="I402" s="868">
        <f>Report!I308</f>
        <v>38880</v>
      </c>
      <c r="J402" s="868">
        <f>Report!J308</f>
        <v>38880</v>
      </c>
      <c r="K402" s="868">
        <f>Report!K308</f>
        <v>38880</v>
      </c>
      <c r="L402" s="870">
        <f>Report!L308</f>
        <v>38880</v>
      </c>
      <c r="M402" s="866"/>
      <c r="N402" s="864"/>
      <c r="O402" s="90"/>
      <c r="P402" s="90"/>
      <c r="Q402" s="90"/>
      <c r="R402" s="90"/>
      <c r="S402" s="90"/>
      <c r="T402" s="90"/>
      <c r="U402" s="90"/>
      <c r="V402" s="90"/>
    </row>
    <row r="403" spans="1:22" ht="18" customHeight="1">
      <c r="A403" s="129"/>
      <c r="B403" s="427"/>
      <c r="C403" s="303" t="s">
        <v>32</v>
      </c>
      <c r="D403" s="303"/>
      <c r="E403" s="428"/>
      <c r="F403" s="868">
        <f>+I201</f>
        <v>31320</v>
      </c>
      <c r="G403" s="868">
        <f>Report!G309</f>
        <v>36540</v>
      </c>
      <c r="H403" s="869">
        <f ca="1">Report!H309</f>
        <v>41961.6103</v>
      </c>
      <c r="I403" s="868">
        <f>Report!I309</f>
        <v>46980</v>
      </c>
      <c r="J403" s="868">
        <f>Report!J309</f>
        <v>46980</v>
      </c>
      <c r="K403" s="868">
        <f>Report!K309</f>
        <v>46980</v>
      </c>
      <c r="L403" s="870">
        <f>Report!L309</f>
        <v>46980</v>
      </c>
      <c r="M403" s="866"/>
      <c r="N403" s="864"/>
      <c r="O403" s="90"/>
      <c r="P403" s="90"/>
      <c r="Q403" s="90"/>
      <c r="R403" s="90"/>
      <c r="S403" s="90"/>
      <c r="T403" s="90"/>
      <c r="U403" s="90"/>
      <c r="V403" s="90"/>
    </row>
    <row r="404" spans="1:22" ht="18" customHeight="1">
      <c r="A404" s="129"/>
      <c r="B404" s="427"/>
      <c r="C404" s="303" t="s">
        <v>34</v>
      </c>
      <c r="D404" s="303"/>
      <c r="E404" s="428"/>
      <c r="F404" s="868">
        <f>+Report!F314</f>
        <v>56925</v>
      </c>
      <c r="G404" s="868">
        <f ca="1">+Report!G314</f>
        <v>68051</v>
      </c>
      <c r="H404" s="869">
        <f ca="1">+Report!H314</f>
        <v>76072.25</v>
      </c>
      <c r="I404" s="868">
        <f ca="1">+Report!I314</f>
        <v>76072.25</v>
      </c>
      <c r="J404" s="868">
        <f ca="1">+Report!J314</f>
        <v>76072.25</v>
      </c>
      <c r="K404" s="868">
        <f ca="1">+Report!K314</f>
        <v>76072.25</v>
      </c>
      <c r="L404" s="870">
        <f ca="1">+Report!L314</f>
        <v>76072.25</v>
      </c>
      <c r="M404" s="866"/>
      <c r="N404" s="864"/>
      <c r="O404" s="90"/>
      <c r="P404" s="90"/>
      <c r="Q404" s="90"/>
      <c r="R404" s="90"/>
      <c r="S404" s="90"/>
      <c r="T404" s="90"/>
      <c r="U404" s="90"/>
      <c r="V404" s="90"/>
    </row>
    <row r="405" spans="1:22" ht="18" customHeight="1">
      <c r="A405" s="129"/>
      <c r="B405" s="427"/>
      <c r="C405" s="303" t="s">
        <v>37</v>
      </c>
      <c r="D405" s="303"/>
      <c r="E405" s="428"/>
      <c r="F405" s="868">
        <f>+I221</f>
        <v>12960</v>
      </c>
      <c r="G405" s="868">
        <f>+Report!$G$316</f>
        <v>15120</v>
      </c>
      <c r="H405" s="869">
        <f ca="1">+Report!$H$316</f>
        <v>17380.80515</v>
      </c>
      <c r="I405" s="868">
        <f>+Report!$I$316</f>
        <v>19440</v>
      </c>
      <c r="J405" s="868">
        <f>+Report!$J$316</f>
        <v>19440</v>
      </c>
      <c r="K405" s="868">
        <f>+Report!$K$316</f>
        <v>19440</v>
      </c>
      <c r="L405" s="870">
        <f>+Report!$K$316</f>
        <v>19440</v>
      </c>
      <c r="M405" s="866"/>
      <c r="N405" s="864"/>
      <c r="O405" s="90"/>
      <c r="P405" s="90"/>
      <c r="Q405" s="90"/>
      <c r="R405" s="90"/>
      <c r="S405" s="90"/>
      <c r="T405" s="90"/>
      <c r="U405" s="90"/>
      <c r="V405" s="90"/>
    </row>
    <row r="406" spans="1:22" ht="18" customHeight="1">
      <c r="A406" s="129"/>
      <c r="B406" s="441"/>
      <c r="C406" s="442" t="s">
        <v>52</v>
      </c>
      <c r="D406" s="443"/>
      <c r="E406" s="444"/>
      <c r="F406" s="896">
        <f t="shared" ref="F406" si="78">SUM(F398:F405)</f>
        <v>2175765</v>
      </c>
      <c r="G406" s="896">
        <f t="shared" ref="G406:L406" ca="1" si="79">SUM(G398:G405)</f>
        <v>2540031</v>
      </c>
      <c r="H406" s="897">
        <f t="shared" ca="1" si="79"/>
        <v>2901696.2757499996</v>
      </c>
      <c r="I406" s="896">
        <f t="shared" ca="1" si="79"/>
        <v>3254332.25</v>
      </c>
      <c r="J406" s="896">
        <f t="shared" ca="1" si="79"/>
        <v>3254332.25</v>
      </c>
      <c r="K406" s="896">
        <f t="shared" ca="1" si="79"/>
        <v>3254332.25</v>
      </c>
      <c r="L406" s="898">
        <f t="shared" ca="1" si="79"/>
        <v>3254332.25</v>
      </c>
      <c r="M406" s="866"/>
      <c r="N406" s="864"/>
      <c r="O406" s="90"/>
      <c r="P406" s="90"/>
      <c r="Q406" s="90"/>
      <c r="R406" s="90"/>
      <c r="S406" s="90"/>
      <c r="T406" s="90"/>
      <c r="U406" s="90"/>
      <c r="V406" s="90"/>
    </row>
    <row r="407" spans="1:22" ht="15.95" customHeight="1">
      <c r="A407" s="129"/>
      <c r="B407" s="754" t="s">
        <v>346</v>
      </c>
      <c r="C407" s="755"/>
      <c r="D407" s="755"/>
      <c r="E407" s="755"/>
      <c r="F407" s="756"/>
      <c r="G407" s="751"/>
      <c r="H407" s="752">
        <f>+H307-H401-H408</f>
        <v>0</v>
      </c>
      <c r="I407" s="751">
        <f>+I307-I401-I408</f>
        <v>0</v>
      </c>
      <c r="J407" s="751">
        <f>+J307-J401-J408</f>
        <v>0</v>
      </c>
      <c r="K407" s="751">
        <f>+K307-K401-K408</f>
        <v>0</v>
      </c>
      <c r="L407" s="753">
        <f>+L307-L401-L408</f>
        <v>0</v>
      </c>
      <c r="M407" s="866"/>
      <c r="N407" s="864"/>
      <c r="O407" s="90"/>
      <c r="P407" s="90"/>
      <c r="Q407" s="90"/>
      <c r="R407" s="90"/>
      <c r="S407" s="90"/>
      <c r="T407" s="90"/>
      <c r="U407" s="90"/>
      <c r="V407" s="90"/>
    </row>
    <row r="408" spans="1:22" ht="18" customHeight="1">
      <c r="A408" s="129"/>
      <c r="B408" s="427"/>
      <c r="C408" s="447" t="s">
        <v>35</v>
      </c>
      <c r="D408" s="116"/>
      <c r="E408" s="432"/>
      <c r="F408" s="899">
        <f>+Report!I171</f>
        <v>180000</v>
      </c>
      <c r="G408" s="899">
        <f>+Report!J171</f>
        <v>189000</v>
      </c>
      <c r="H408" s="900">
        <f>+Report!K171</f>
        <v>198450</v>
      </c>
      <c r="I408" s="899">
        <f>+Report!L171</f>
        <v>208372.5</v>
      </c>
      <c r="J408" s="899">
        <f>+I408</f>
        <v>208372.5</v>
      </c>
      <c r="K408" s="899">
        <f>+J408</f>
        <v>208372.5</v>
      </c>
      <c r="L408" s="901">
        <f>+K408</f>
        <v>208372.5</v>
      </c>
      <c r="M408" s="866"/>
      <c r="N408" s="864"/>
      <c r="O408" s="90"/>
      <c r="P408" s="90"/>
      <c r="Q408" s="90"/>
      <c r="R408" s="90"/>
      <c r="S408" s="90"/>
      <c r="T408" s="90"/>
      <c r="U408" s="90"/>
      <c r="V408" s="90"/>
    </row>
    <row r="409" spans="1:22" ht="18" customHeight="1">
      <c r="A409" s="129"/>
      <c r="B409" s="427"/>
      <c r="C409" s="303" t="s">
        <v>187</v>
      </c>
      <c r="D409" s="302"/>
      <c r="E409" s="428"/>
      <c r="F409" s="868">
        <f>+'Data Feeding'!F147</f>
        <v>60000</v>
      </c>
      <c r="G409" s="868">
        <f>Report!G310</f>
        <v>60000</v>
      </c>
      <c r="H409" s="869">
        <f>Report!H310</f>
        <v>60000</v>
      </c>
      <c r="I409" s="868">
        <f>Report!I310</f>
        <v>60000</v>
      </c>
      <c r="J409" s="868">
        <f>Report!J310</f>
        <v>60000</v>
      </c>
      <c r="K409" s="868">
        <f>Report!K310</f>
        <v>60000</v>
      </c>
      <c r="L409" s="870">
        <f>Report!L310</f>
        <v>60000</v>
      </c>
      <c r="M409" s="866"/>
      <c r="N409" s="864"/>
      <c r="O409" s="90"/>
      <c r="P409" s="90"/>
      <c r="Q409" s="90"/>
      <c r="R409" s="90"/>
      <c r="S409" s="90"/>
      <c r="T409" s="90"/>
      <c r="U409" s="90"/>
      <c r="V409" s="90"/>
    </row>
    <row r="410" spans="1:22" ht="18" customHeight="1">
      <c r="A410" s="129"/>
      <c r="B410" s="427"/>
      <c r="C410" s="303" t="s">
        <v>36</v>
      </c>
      <c r="D410" s="302"/>
      <c r="E410" s="428"/>
      <c r="F410" s="868">
        <f>Report!F313</f>
        <v>54720</v>
      </c>
      <c r="G410" s="868">
        <f>Report!G313</f>
        <v>43680</v>
      </c>
      <c r="H410" s="869">
        <f>Report!H313</f>
        <v>32160</v>
      </c>
      <c r="I410" s="868">
        <f>Report!I313</f>
        <v>20640</v>
      </c>
      <c r="J410" s="868">
        <f ca="1">Report!J313</f>
        <v>9120</v>
      </c>
      <c r="K410" s="868">
        <f ca="1">Report!K313</f>
        <v>480</v>
      </c>
      <c r="L410" s="870">
        <f ca="1">Report!L313</f>
        <v>0</v>
      </c>
      <c r="M410" s="866"/>
      <c r="N410" s="864"/>
      <c r="O410" s="90"/>
      <c r="P410" s="90"/>
      <c r="Q410" s="90"/>
      <c r="R410" s="90"/>
      <c r="S410" s="90"/>
      <c r="T410" s="90"/>
      <c r="U410" s="90"/>
      <c r="V410" s="90"/>
    </row>
    <row r="411" spans="1:22" ht="18" customHeight="1">
      <c r="A411" s="129"/>
      <c r="B411" s="427"/>
      <c r="C411" s="303" t="s">
        <v>33</v>
      </c>
      <c r="D411" s="302"/>
      <c r="E411" s="428"/>
      <c r="F411" s="868">
        <f>+Report!I215</f>
        <v>96000</v>
      </c>
      <c r="G411" s="868">
        <f>+Report!G315</f>
        <v>96000</v>
      </c>
      <c r="H411" s="869">
        <f>+Report!H315</f>
        <v>96000</v>
      </c>
      <c r="I411" s="868">
        <f>+Report!I315</f>
        <v>96000</v>
      </c>
      <c r="J411" s="868">
        <f>+Report!J315</f>
        <v>96000</v>
      </c>
      <c r="K411" s="868">
        <f>+Report!K315</f>
        <v>96000</v>
      </c>
      <c r="L411" s="870">
        <f>+Report!L315</f>
        <v>96000</v>
      </c>
      <c r="M411" s="866"/>
      <c r="N411" s="864"/>
      <c r="O411" s="90"/>
      <c r="P411" s="90"/>
      <c r="Q411" s="90"/>
      <c r="R411" s="90"/>
      <c r="S411" s="90"/>
      <c r="T411" s="90"/>
      <c r="U411" s="90"/>
      <c r="V411" s="90"/>
    </row>
    <row r="412" spans="1:22" ht="18" customHeight="1">
      <c r="A412" s="129"/>
      <c r="B412" s="441"/>
      <c r="C412" s="304" t="s">
        <v>263</v>
      </c>
      <c r="D412" s="443"/>
      <c r="E412" s="444"/>
      <c r="F412" s="896">
        <f>SUM(F408:F411)</f>
        <v>390720</v>
      </c>
      <c r="G412" s="896">
        <f>SUM(G408:G411)</f>
        <v>388680</v>
      </c>
      <c r="H412" s="897">
        <f ca="1">SUM(H408:H411)+P3265</f>
        <v>386611.03</v>
      </c>
      <c r="I412" s="896">
        <f ca="1">SUM(I408:I411)+P3265</f>
        <v>385013.53</v>
      </c>
      <c r="J412" s="896">
        <f ca="1">SUM(J408:J411)+P3265</f>
        <v>373493.53</v>
      </c>
      <c r="K412" s="896">
        <f ca="1">SUM(K408:K411)</f>
        <v>364852.5</v>
      </c>
      <c r="L412" s="898">
        <f ca="1">SUM(L408:L411)</f>
        <v>364372.5</v>
      </c>
      <c r="M412" s="866"/>
      <c r="N412" s="864"/>
      <c r="O412" s="90"/>
      <c r="P412" s="90"/>
      <c r="Q412" s="90"/>
      <c r="R412" s="90"/>
      <c r="S412" s="90"/>
      <c r="T412" s="90"/>
      <c r="U412" s="90"/>
      <c r="V412" s="90"/>
    </row>
    <row r="413" spans="1:22" ht="18" customHeight="1">
      <c r="A413" s="129"/>
      <c r="B413" s="437"/>
      <c r="C413" s="448" t="s">
        <v>56</v>
      </c>
      <c r="D413" s="445"/>
      <c r="E413" s="446"/>
      <c r="F413" s="672">
        <f t="shared" ref="F413" si="80">SUM((F412/(F396-F406)))*100</f>
        <v>93.870049371148511</v>
      </c>
      <c r="G413" s="672">
        <f t="shared" ref="G413:L413" ca="1" si="81">SUM((G412/(G396-G406)))*100</f>
        <v>80.310929005783422</v>
      </c>
      <c r="H413" s="673">
        <f t="shared" ca="1" si="81"/>
        <v>67.29934728628298</v>
      </c>
      <c r="I413" s="672">
        <f t="shared" ca="1" si="81"/>
        <v>60.759527370613384</v>
      </c>
      <c r="J413" s="672">
        <f t="shared" ca="1" si="81"/>
        <v>58.941539947393572</v>
      </c>
      <c r="K413" s="672">
        <f t="shared" ca="1" si="81"/>
        <v>57.577886834228188</v>
      </c>
      <c r="L413" s="674">
        <f t="shared" ca="1" si="81"/>
        <v>57.502137358260697</v>
      </c>
      <c r="M413" s="866"/>
      <c r="N413" s="864"/>
      <c r="O413" s="90"/>
      <c r="P413" s="90"/>
      <c r="Q413" s="90"/>
      <c r="R413" s="90"/>
      <c r="S413" s="90"/>
      <c r="T413" s="90"/>
      <c r="U413" s="90"/>
      <c r="V413" s="90"/>
    </row>
    <row r="414" spans="1:22" s="90" customFormat="1" ht="18" customHeight="1">
      <c r="A414" s="129"/>
      <c r="B414" s="437"/>
      <c r="C414" s="303" t="s">
        <v>54</v>
      </c>
      <c r="D414" s="116"/>
      <c r="E414" s="432"/>
      <c r="F414" s="770">
        <f t="shared" ref="F414" si="82">SUM(((F412-F409)/(F396-F406)))*100</f>
        <v>79.455115499657651</v>
      </c>
      <c r="G414" s="770">
        <f t="shared" ref="G414:L414" ca="1" si="83">SUM(((G412-G409)/(G396-G406)))*100</f>
        <v>67.913440736906708</v>
      </c>
      <c r="H414" s="771">
        <f t="shared" ca="1" si="83"/>
        <v>56.8548422829545</v>
      </c>
      <c r="I414" s="770">
        <f t="shared" ca="1" si="83"/>
        <v>51.290842874676834</v>
      </c>
      <c r="J414" s="770">
        <f t="shared" ca="1" si="83"/>
        <v>49.472855451457022</v>
      </c>
      <c r="K414" s="770">
        <f t="shared" ca="1" si="83"/>
        <v>48.109202338291638</v>
      </c>
      <c r="L414" s="772">
        <f t="shared" ca="1" si="83"/>
        <v>48.033452862324147</v>
      </c>
      <c r="M414" s="866"/>
      <c r="N414" s="864"/>
    </row>
    <row r="415" spans="1:22" ht="18" customHeight="1">
      <c r="A415" s="129"/>
      <c r="B415" s="437"/>
      <c r="C415" s="448" t="s">
        <v>55</v>
      </c>
      <c r="D415" s="445"/>
      <c r="E415" s="446"/>
      <c r="F415" s="767">
        <f>+Report!$H$149*F413/100</f>
        <v>4055186.1328336154</v>
      </c>
      <c r="G415" s="767">
        <f ca="1">+Report!$H$149*G413/100</f>
        <v>3469432.1330498438</v>
      </c>
      <c r="H415" s="768">
        <f ca="1">+Report!$H$149*H413/100</f>
        <v>2907331.8027674244</v>
      </c>
      <c r="I415" s="767">
        <f ca="1">+Report!$H$149*I413/100</f>
        <v>2624811.5824104981</v>
      </c>
      <c r="J415" s="767">
        <f ca="1">+Report!$H$149*J413/100</f>
        <v>2546274.5257274024</v>
      </c>
      <c r="K415" s="767">
        <f ca="1">+Report!$H$149*K413/100</f>
        <v>2487364.7112386581</v>
      </c>
      <c r="L415" s="769">
        <f ca="1">+Report!$H$149*L413/100</f>
        <v>2484092.3338768622</v>
      </c>
      <c r="M415" s="866"/>
      <c r="N415" s="864"/>
      <c r="O415" s="90"/>
      <c r="P415" s="90"/>
      <c r="Q415" s="90"/>
      <c r="R415" s="90"/>
      <c r="S415" s="90"/>
      <c r="T415" s="90"/>
      <c r="U415" s="90"/>
      <c r="V415" s="90"/>
    </row>
    <row r="416" spans="1:22" ht="18" customHeight="1" thickBot="1">
      <c r="A416" s="129"/>
      <c r="B416" s="757"/>
      <c r="C416" s="404" t="s">
        <v>53</v>
      </c>
      <c r="D416" s="602"/>
      <c r="E416" s="433"/>
      <c r="F416" s="758">
        <f>+'Data Feeding'!$N$29*F413/100</f>
        <v>11264.405924537823</v>
      </c>
      <c r="G416" s="758">
        <f ca="1">+'Data Feeding'!$N$29*G413/100</f>
        <v>9637.3114806940102</v>
      </c>
      <c r="H416" s="405">
        <f ca="1">+'Data Feeding'!$N$29*H413/100</f>
        <v>8075.9216743539573</v>
      </c>
      <c r="I416" s="758">
        <f ca="1">+'Data Feeding'!$N$29*I413/100</f>
        <v>7291.1432844736064</v>
      </c>
      <c r="J416" s="758">
        <f ca="1">+'Data Feeding'!$N$29*J413/100</f>
        <v>7072.9847936872284</v>
      </c>
      <c r="K416" s="758">
        <f ca="1">+'Data Feeding'!$N$29*K413/100</f>
        <v>6909.346420107383</v>
      </c>
      <c r="L416" s="759">
        <f ca="1">+'Data Feeding'!$N$29*L413/100</f>
        <v>6900.2564829912844</v>
      </c>
      <c r="M416" s="866"/>
      <c r="N416" s="864"/>
      <c r="O416" s="90"/>
      <c r="P416" s="90"/>
      <c r="Q416" s="90"/>
      <c r="R416" s="90"/>
      <c r="S416" s="90"/>
      <c r="T416" s="90"/>
      <c r="U416" s="90"/>
      <c r="V416" s="90"/>
    </row>
    <row r="417" spans="1:22" ht="14.25" customHeight="1" thickTop="1" thickBot="1">
      <c r="A417" s="129"/>
      <c r="B417" s="4"/>
      <c r="C417" s="17"/>
      <c r="D417" s="17"/>
      <c r="E417" s="17"/>
      <c r="F417" s="204"/>
      <c r="G417" s="205" t="s">
        <v>92</v>
      </c>
      <c r="H417" s="206"/>
      <c r="I417" s="205"/>
      <c r="J417" s="205"/>
      <c r="K417" s="205"/>
      <c r="L417" s="205"/>
      <c r="M417" s="866"/>
      <c r="N417" s="864"/>
      <c r="O417" s="90"/>
      <c r="P417" s="90"/>
      <c r="Q417" s="90"/>
      <c r="R417" s="90"/>
      <c r="S417" s="90"/>
      <c r="T417" s="90"/>
      <c r="U417" s="90"/>
      <c r="V417" s="90"/>
    </row>
    <row r="418" spans="1:22" ht="18" customHeight="1" thickTop="1">
      <c r="B418" s="1343" t="s">
        <v>222</v>
      </c>
      <c r="C418" s="1344"/>
      <c r="D418" s="1344"/>
      <c r="E418" s="1344"/>
      <c r="F418" s="1344"/>
      <c r="G418" s="1344"/>
      <c r="H418" s="1344"/>
      <c r="I418" s="1344"/>
      <c r="J418" s="1344"/>
      <c r="K418" s="1344"/>
      <c r="L418" s="840" t="str">
        <f>CONCATENATE("--  P. ",C40," --")</f>
        <v>--  P.  --</v>
      </c>
      <c r="M418" s="866"/>
      <c r="N418" s="864"/>
      <c r="O418" s="90"/>
      <c r="P418" s="90"/>
      <c r="Q418" s="90"/>
      <c r="R418" s="90"/>
      <c r="S418" s="90"/>
      <c r="T418" s="90"/>
      <c r="U418" s="90"/>
      <c r="V418" s="90"/>
    </row>
    <row r="419" spans="1:22" ht="14.1" customHeight="1">
      <c r="B419" s="1348" t="s">
        <v>119</v>
      </c>
      <c r="C419" s="1349"/>
      <c r="D419" s="1349"/>
      <c r="E419" s="1350"/>
      <c r="F419" s="902" t="s">
        <v>63</v>
      </c>
      <c r="G419" s="902" t="s">
        <v>64</v>
      </c>
      <c r="H419" s="902" t="s">
        <v>65</v>
      </c>
      <c r="I419" s="902" t="s">
        <v>66</v>
      </c>
      <c r="J419" s="902" t="s">
        <v>127</v>
      </c>
      <c r="K419" s="902" t="s">
        <v>128</v>
      </c>
      <c r="L419" s="903" t="s">
        <v>121</v>
      </c>
      <c r="M419" s="866"/>
      <c r="N419" s="864"/>
      <c r="O419" s="90"/>
      <c r="P419" s="90"/>
      <c r="Q419" s="90"/>
      <c r="R419" s="90"/>
      <c r="S419" s="90"/>
      <c r="T419" s="90"/>
      <c r="U419" s="90"/>
      <c r="V419" s="90"/>
    </row>
    <row r="420" spans="1:22" ht="18" customHeight="1">
      <c r="B420" s="1348" t="s">
        <v>223</v>
      </c>
      <c r="C420" s="1349"/>
      <c r="D420" s="1349"/>
      <c r="E420" s="1350"/>
      <c r="F420" s="868">
        <f>F319</f>
        <v>22963.5</v>
      </c>
      <c r="G420" s="868">
        <f ca="1">G319</f>
        <v>95289</v>
      </c>
      <c r="H420" s="868">
        <f ca="1">H319</f>
        <v>169069.27882500051</v>
      </c>
      <c r="I420" s="869">
        <f ca="1">I319</f>
        <v>223789.72500000001</v>
      </c>
      <c r="J420" s="868">
        <f ca="1">J319+P3345</f>
        <v>240920.49615300001</v>
      </c>
      <c r="K420" s="868">
        <f ca="1">K319+P3345</f>
        <v>248696.49615300001</v>
      </c>
      <c r="L420" s="870">
        <f ca="1">SUM(F420:K420)</f>
        <v>1000728.4961310006</v>
      </c>
      <c r="M420" s="866"/>
      <c r="N420" s="864"/>
      <c r="O420" s="90"/>
      <c r="P420" s="90"/>
      <c r="Q420" s="90"/>
      <c r="R420" s="90"/>
      <c r="S420" s="90"/>
      <c r="T420" s="90"/>
      <c r="U420" s="90"/>
      <c r="V420" s="90"/>
    </row>
    <row r="421" spans="1:22" ht="18" customHeight="1">
      <c r="B421" s="1348" t="s">
        <v>192</v>
      </c>
      <c r="C421" s="1349"/>
      <c r="D421" s="1349"/>
      <c r="E421" s="1350"/>
      <c r="F421" s="868">
        <f t="shared" ref="F421:I421" si="84">F313</f>
        <v>54720</v>
      </c>
      <c r="G421" s="868">
        <f t="shared" si="84"/>
        <v>43680</v>
      </c>
      <c r="H421" s="868">
        <f t="shared" si="84"/>
        <v>32160</v>
      </c>
      <c r="I421" s="869">
        <f t="shared" si="84"/>
        <v>20640</v>
      </c>
      <c r="J421" s="868">
        <f ca="1">J313</f>
        <v>9120</v>
      </c>
      <c r="K421" s="868">
        <f ca="1">K313</f>
        <v>480</v>
      </c>
      <c r="L421" s="870">
        <f ca="1">SUM(F421:K421)</f>
        <v>160800</v>
      </c>
      <c r="M421" s="866"/>
      <c r="N421" s="864"/>
      <c r="O421" s="90"/>
      <c r="P421" s="90"/>
      <c r="Q421" s="90"/>
      <c r="R421" s="90"/>
      <c r="S421" s="90"/>
      <c r="T421" s="90"/>
      <c r="U421" s="90"/>
      <c r="V421" s="90"/>
    </row>
    <row r="422" spans="1:22" ht="18" customHeight="1">
      <c r="B422" s="1348" t="s">
        <v>187</v>
      </c>
      <c r="C422" s="1349"/>
      <c r="D422" s="1349"/>
      <c r="E422" s="1350"/>
      <c r="F422" s="868">
        <f t="shared" ref="F422:K422" si="85">F310</f>
        <v>60000</v>
      </c>
      <c r="G422" s="868">
        <f t="shared" si="85"/>
        <v>60000</v>
      </c>
      <c r="H422" s="868">
        <f t="shared" si="85"/>
        <v>60000</v>
      </c>
      <c r="I422" s="869">
        <f t="shared" si="85"/>
        <v>60000</v>
      </c>
      <c r="J422" s="868">
        <f t="shared" si="85"/>
        <v>60000</v>
      </c>
      <c r="K422" s="868">
        <f t="shared" si="85"/>
        <v>60000</v>
      </c>
      <c r="L422" s="870">
        <f>SUM(F422:K422)</f>
        <v>360000</v>
      </c>
      <c r="M422" s="866"/>
      <c r="N422" s="864"/>
      <c r="O422" s="90"/>
      <c r="P422" s="90"/>
      <c r="Q422" s="90"/>
      <c r="R422" s="90"/>
      <c r="S422" s="90"/>
      <c r="T422" s="90"/>
      <c r="U422" s="90"/>
      <c r="V422" s="90"/>
    </row>
    <row r="423" spans="1:22" ht="18" customHeight="1">
      <c r="B423" s="1348" t="s">
        <v>97</v>
      </c>
      <c r="C423" s="1349"/>
      <c r="D423" s="1349"/>
      <c r="E423" s="1350"/>
      <c r="F423" s="868">
        <f t="shared" ref="F423" si="86">SUM(F420:F422)</f>
        <v>137683.5</v>
      </c>
      <c r="G423" s="868">
        <f t="shared" ref="G423:L423" ca="1" si="87">SUM(G420:G422)</f>
        <v>198969</v>
      </c>
      <c r="H423" s="868">
        <f t="shared" ca="1" si="87"/>
        <v>261229.27882500051</v>
      </c>
      <c r="I423" s="869">
        <f t="shared" ca="1" si="87"/>
        <v>304429.72499999998</v>
      </c>
      <c r="J423" s="868">
        <f t="shared" ca="1" si="87"/>
        <v>310040.49615300004</v>
      </c>
      <c r="K423" s="868">
        <f t="shared" ca="1" si="87"/>
        <v>309176.49615300004</v>
      </c>
      <c r="L423" s="870">
        <f t="shared" ca="1" si="87"/>
        <v>1521528.4961310006</v>
      </c>
      <c r="M423" s="866"/>
      <c r="N423" s="864"/>
      <c r="O423" s="90"/>
      <c r="P423" s="90"/>
      <c r="Q423" s="90"/>
      <c r="R423" s="90"/>
      <c r="S423" s="90"/>
      <c r="T423" s="90"/>
      <c r="U423" s="90"/>
      <c r="V423" s="90"/>
    </row>
    <row r="424" spans="1:22" ht="18" customHeight="1">
      <c r="B424" s="1348" t="s">
        <v>224</v>
      </c>
      <c r="C424" s="1349"/>
      <c r="D424" s="1349"/>
      <c r="E424" s="1350"/>
      <c r="F424" s="868">
        <f t="shared" ref="F424:I424" si="88">F421</f>
        <v>54720</v>
      </c>
      <c r="G424" s="868">
        <f t="shared" si="88"/>
        <v>43680</v>
      </c>
      <c r="H424" s="868">
        <f t="shared" si="88"/>
        <v>32160</v>
      </c>
      <c r="I424" s="869">
        <f t="shared" si="88"/>
        <v>20640</v>
      </c>
      <c r="J424" s="868">
        <f ca="1">J421</f>
        <v>9120</v>
      </c>
      <c r="K424" s="868">
        <f ca="1">K421</f>
        <v>480</v>
      </c>
      <c r="L424" s="870">
        <f ca="1">SUM(F424:K424)</f>
        <v>160800</v>
      </c>
      <c r="M424" s="866"/>
      <c r="N424" s="864"/>
      <c r="O424" s="90"/>
      <c r="P424" s="90"/>
      <c r="Q424" s="90"/>
      <c r="R424" s="90"/>
      <c r="S424" s="90"/>
      <c r="T424" s="90"/>
      <c r="U424" s="90"/>
      <c r="V424" s="90"/>
    </row>
    <row r="425" spans="1:22" ht="18" customHeight="1">
      <c r="B425" s="1348" t="s">
        <v>48</v>
      </c>
      <c r="C425" s="1349"/>
      <c r="D425" s="1349"/>
      <c r="E425" s="1350"/>
      <c r="F425" s="868">
        <f>Report!F368</f>
        <v>72000</v>
      </c>
      <c r="G425" s="868">
        <f>Report!G368</f>
        <v>96000</v>
      </c>
      <c r="H425" s="868">
        <f>Report!H368</f>
        <v>96000</v>
      </c>
      <c r="I425" s="869">
        <f>Report!I368</f>
        <v>96000</v>
      </c>
      <c r="J425" s="868">
        <f>Report!J368</f>
        <v>96000</v>
      </c>
      <c r="K425" s="868">
        <f ca="1">Report!K368</f>
        <v>24000</v>
      </c>
      <c r="L425" s="870">
        <f ca="1">SUM(F425:K425)</f>
        <v>480000</v>
      </c>
      <c r="M425" s="866"/>
      <c r="N425" s="864"/>
      <c r="O425" s="90"/>
      <c r="P425" s="90"/>
      <c r="Q425" s="90"/>
      <c r="R425" s="90"/>
      <c r="S425" s="90"/>
      <c r="T425" s="90"/>
      <c r="U425" s="90"/>
      <c r="V425" s="90"/>
    </row>
    <row r="426" spans="1:22" ht="18" customHeight="1">
      <c r="B426" s="1348" t="s">
        <v>97</v>
      </c>
      <c r="C426" s="1349"/>
      <c r="D426" s="1349"/>
      <c r="E426" s="1350"/>
      <c r="F426" s="868">
        <f t="shared" ref="F426:I426" si="89">SUM(F424:F425)</f>
        <v>126720</v>
      </c>
      <c r="G426" s="868">
        <f t="shared" si="89"/>
        <v>139680</v>
      </c>
      <c r="H426" s="868">
        <f t="shared" si="89"/>
        <v>128160</v>
      </c>
      <c r="I426" s="869">
        <f t="shared" si="89"/>
        <v>116640</v>
      </c>
      <c r="J426" s="868">
        <f ca="1">SUM(J424:J425)</f>
        <v>105120</v>
      </c>
      <c r="K426" s="868">
        <f ca="1">SUM(K424:K425)</f>
        <v>24480</v>
      </c>
      <c r="L426" s="870">
        <f ca="1">SUM(L424:L425)</f>
        <v>640800</v>
      </c>
      <c r="M426" s="866"/>
      <c r="N426" s="864"/>
      <c r="O426" s="90"/>
      <c r="P426" s="90"/>
      <c r="Q426" s="90"/>
      <c r="R426" s="90"/>
      <c r="S426" s="90"/>
      <c r="T426" s="90"/>
      <c r="U426" s="90"/>
      <c r="V426" s="90"/>
    </row>
    <row r="427" spans="1:22" ht="18" customHeight="1">
      <c r="A427" s="438"/>
      <c r="B427" s="1348" t="s">
        <v>49</v>
      </c>
      <c r="C427" s="1349"/>
      <c r="D427" s="1349"/>
      <c r="E427" s="1350"/>
      <c r="F427" s="675">
        <f>F423/F426</f>
        <v>1.0865175189393939</v>
      </c>
      <c r="G427" s="675">
        <f ca="1">G423/G426</f>
        <v>1.4244630584192439</v>
      </c>
      <c r="H427" s="675">
        <f ca="1">H423/H426</f>
        <v>2.0383058584971949</v>
      </c>
      <c r="I427" s="676">
        <f ca="1">$I$423/$I$426</f>
        <v>2.6099942129629627</v>
      </c>
      <c r="J427" s="675">
        <f ca="1">J423/J426</f>
        <v>2.9493958918664389</v>
      </c>
      <c r="K427" s="675">
        <f ca="1">K423/K426</f>
        <v>12.629758829779414</v>
      </c>
      <c r="L427" s="677">
        <f ca="1">L423/L426</f>
        <v>2.374420249892323</v>
      </c>
      <c r="M427" s="866"/>
      <c r="N427" s="864"/>
      <c r="O427" s="90"/>
      <c r="P427" s="90"/>
      <c r="Q427" s="90"/>
      <c r="R427" s="90"/>
      <c r="S427" s="90"/>
      <c r="T427" s="90"/>
      <c r="U427" s="90"/>
      <c r="V427" s="90"/>
    </row>
    <row r="428" spans="1:22" ht="18" customHeight="1" thickBot="1">
      <c r="A428" s="124"/>
      <c r="B428" s="1385" t="s">
        <v>225</v>
      </c>
      <c r="C428" s="1386"/>
      <c r="D428" s="1386"/>
      <c r="E428" s="1387"/>
      <c r="F428" s="678">
        <f ca="1">$L$427</f>
        <v>2.374420249892323</v>
      </c>
      <c r="G428" s="679"/>
      <c r="H428" s="680"/>
      <c r="I428" s="679"/>
      <c r="J428" s="679"/>
      <c r="K428" s="404"/>
      <c r="L428" s="681"/>
      <c r="M428" s="866"/>
      <c r="N428" s="864"/>
      <c r="O428" s="90"/>
      <c r="P428" s="90"/>
      <c r="Q428" s="90"/>
      <c r="R428" s="90"/>
      <c r="S428" s="90"/>
      <c r="T428" s="90"/>
      <c r="U428" s="90"/>
      <c r="V428" s="90"/>
    </row>
    <row r="429" spans="1:22" ht="9" customHeight="1" thickTop="1">
      <c r="A429" s="124"/>
      <c r="B429" s="4"/>
      <c r="C429" s="17"/>
      <c r="D429" s="17"/>
      <c r="E429" s="17"/>
      <c r="F429" s="30"/>
      <c r="G429" s="38"/>
      <c r="H429" s="63"/>
      <c r="I429" s="38"/>
      <c r="J429" s="38"/>
      <c r="K429" s="38"/>
      <c r="L429" s="38"/>
      <c r="M429" s="866"/>
      <c r="N429" s="864"/>
      <c r="O429" s="90"/>
      <c r="P429" s="90"/>
      <c r="Q429" s="90"/>
      <c r="R429" s="90"/>
      <c r="S429" s="90"/>
      <c r="T429" s="90"/>
      <c r="U429" s="90"/>
      <c r="V429" s="90"/>
    </row>
    <row r="430" spans="1:22" ht="18" customHeight="1">
      <c r="B430" s="90"/>
      <c r="C430" s="90"/>
      <c r="D430" s="90"/>
      <c r="E430" s="90"/>
      <c r="F430" s="90"/>
      <c r="G430" s="90"/>
      <c r="H430" s="101"/>
      <c r="I430" s="90"/>
      <c r="J430" s="90"/>
      <c r="K430" s="90"/>
      <c r="L430" s="90"/>
      <c r="M430" s="866"/>
      <c r="N430" s="864"/>
      <c r="O430" s="90"/>
      <c r="P430" s="90"/>
      <c r="Q430" s="90"/>
      <c r="R430" s="90"/>
      <c r="S430" s="90"/>
      <c r="T430" s="90"/>
      <c r="U430" s="90"/>
      <c r="V430" s="90"/>
    </row>
    <row r="431" spans="1:22" ht="18" customHeight="1">
      <c r="B431" s="90"/>
      <c r="C431" s="90"/>
      <c r="D431" s="90"/>
      <c r="E431" s="90"/>
      <c r="F431" s="90"/>
      <c r="G431" s="90"/>
      <c r="H431" s="101"/>
      <c r="I431" s="90"/>
      <c r="J431" s="90"/>
      <c r="K431" s="90"/>
      <c r="L431" s="90"/>
      <c r="M431" s="866"/>
      <c r="N431" s="864"/>
      <c r="O431" s="90"/>
      <c r="P431" s="90"/>
      <c r="Q431" s="90"/>
      <c r="R431" s="90"/>
      <c r="S431" s="90"/>
      <c r="T431" s="90"/>
      <c r="U431" s="90"/>
      <c r="V431" s="90"/>
    </row>
    <row r="432" spans="1:22" ht="18" customHeight="1">
      <c r="B432" s="90"/>
      <c r="C432" s="90"/>
      <c r="D432" s="90"/>
      <c r="E432" s="90"/>
      <c r="F432" s="90"/>
      <c r="G432" s="90"/>
      <c r="H432" s="101"/>
      <c r="I432" s="90"/>
      <c r="J432" s="90"/>
      <c r="K432" s="90"/>
      <c r="L432" s="90"/>
      <c r="M432" s="866"/>
      <c r="N432" s="864"/>
      <c r="O432" s="90"/>
      <c r="P432" s="90"/>
      <c r="Q432" s="90"/>
      <c r="R432" s="90"/>
      <c r="S432" s="90"/>
      <c r="T432" s="90"/>
      <c r="U432" s="90"/>
      <c r="V432" s="90"/>
    </row>
    <row r="433" spans="2:22" ht="18" customHeight="1">
      <c r="B433" s="90"/>
      <c r="C433" s="90"/>
      <c r="D433" s="90"/>
      <c r="E433" s="90"/>
      <c r="F433" s="90"/>
      <c r="G433" s="90"/>
      <c r="H433" s="101"/>
      <c r="I433" s="90"/>
      <c r="J433" s="90"/>
      <c r="K433" s="90"/>
      <c r="L433" s="90"/>
      <c r="M433" s="866"/>
      <c r="N433" s="864"/>
      <c r="O433" s="90"/>
      <c r="P433" s="90"/>
      <c r="Q433" s="90"/>
      <c r="R433" s="90"/>
      <c r="S433" s="90"/>
      <c r="T433" s="90"/>
      <c r="U433" s="90"/>
      <c r="V433" s="90"/>
    </row>
    <row r="434" spans="2:22" ht="18" customHeight="1">
      <c r="B434" s="90"/>
      <c r="C434" s="90"/>
      <c r="D434" s="90"/>
      <c r="E434" s="90"/>
      <c r="F434" s="90"/>
      <c r="G434" s="90"/>
      <c r="H434" s="101"/>
      <c r="I434" s="90"/>
      <c r="J434" s="90"/>
      <c r="K434" s="90"/>
      <c r="L434" s="90"/>
      <c r="M434" s="866"/>
      <c r="N434" s="864"/>
      <c r="O434" s="90"/>
      <c r="P434" s="90"/>
      <c r="Q434" s="90"/>
      <c r="R434" s="90"/>
      <c r="S434" s="90"/>
      <c r="T434" s="90"/>
      <c r="U434" s="90"/>
      <c r="V434" s="90"/>
    </row>
    <row r="435" spans="2:22" ht="18" customHeight="1">
      <c r="B435" s="90"/>
      <c r="C435" s="90"/>
      <c r="D435" s="90"/>
      <c r="E435" s="90"/>
      <c r="F435" s="90"/>
      <c r="G435" s="90"/>
      <c r="H435" s="101"/>
      <c r="I435" s="90"/>
      <c r="J435" s="90"/>
      <c r="K435" s="90"/>
      <c r="L435" s="90"/>
      <c r="M435" s="866"/>
      <c r="N435" s="864"/>
      <c r="O435" s="90"/>
      <c r="P435" s="90"/>
      <c r="Q435" s="90"/>
      <c r="R435" s="90"/>
      <c r="S435" s="90"/>
      <c r="T435" s="90"/>
      <c r="U435" s="90"/>
      <c r="V435" s="90"/>
    </row>
    <row r="436" spans="2:22" ht="18" customHeight="1">
      <c r="B436" s="90"/>
      <c r="C436" s="90"/>
      <c r="D436" s="90"/>
      <c r="E436" s="90"/>
      <c r="F436" s="90"/>
      <c r="G436" s="90"/>
      <c r="H436" s="101"/>
      <c r="I436" s="90"/>
      <c r="J436" s="90"/>
      <c r="K436" s="90"/>
      <c r="L436" s="90"/>
      <c r="M436" s="866"/>
      <c r="N436" s="864"/>
      <c r="O436" s="90"/>
      <c r="P436" s="90"/>
      <c r="Q436" s="90"/>
      <c r="R436" s="90"/>
      <c r="S436" s="90"/>
      <c r="T436" s="90"/>
      <c r="U436" s="90"/>
      <c r="V436" s="90"/>
    </row>
    <row r="437" spans="2:22" ht="18" customHeight="1">
      <c r="B437" s="90"/>
      <c r="C437" s="90"/>
      <c r="D437" s="90"/>
      <c r="E437" s="90"/>
      <c r="F437" s="90"/>
      <c r="G437" s="90"/>
      <c r="H437" s="101"/>
      <c r="I437" s="90"/>
      <c r="J437" s="90"/>
      <c r="K437" s="90"/>
      <c r="L437" s="90"/>
      <c r="M437" s="866"/>
      <c r="N437" s="864"/>
      <c r="O437" s="90"/>
      <c r="P437" s="90"/>
      <c r="Q437" s="90"/>
      <c r="R437" s="90"/>
      <c r="S437" s="90"/>
      <c r="T437" s="90"/>
      <c r="U437" s="90"/>
      <c r="V437" s="90"/>
    </row>
    <row r="438" spans="2:22" ht="18" customHeight="1">
      <c r="B438" s="90"/>
      <c r="C438" s="90"/>
      <c r="D438" s="90"/>
      <c r="E438" s="90"/>
      <c r="F438" s="90"/>
      <c r="G438" s="90"/>
      <c r="H438" s="101"/>
      <c r="I438" s="90"/>
      <c r="J438" s="90"/>
      <c r="K438" s="90"/>
      <c r="L438" s="90"/>
      <c r="M438" s="866"/>
      <c r="N438" s="864"/>
      <c r="O438" s="90"/>
      <c r="P438" s="90"/>
      <c r="Q438" s="90"/>
      <c r="R438" s="90"/>
      <c r="S438" s="90"/>
      <c r="T438" s="90"/>
      <c r="U438" s="90"/>
      <c r="V438" s="90"/>
    </row>
    <row r="439" spans="2:22" ht="18" customHeight="1">
      <c r="B439" s="90"/>
      <c r="C439" s="90"/>
      <c r="D439" s="90"/>
      <c r="E439" s="90"/>
      <c r="F439" s="90"/>
      <c r="G439" s="90"/>
      <c r="H439" s="101"/>
      <c r="I439" s="90"/>
      <c r="J439" s="90"/>
      <c r="K439" s="90"/>
      <c r="L439" s="90"/>
      <c r="M439" s="866"/>
      <c r="N439" s="864"/>
      <c r="O439" s="90"/>
      <c r="P439" s="90"/>
      <c r="Q439" s="90"/>
      <c r="R439" s="90"/>
      <c r="S439" s="90"/>
      <c r="T439" s="90"/>
      <c r="U439" s="90"/>
      <c r="V439" s="90"/>
    </row>
    <row r="440" spans="2:22" ht="18" customHeight="1">
      <c r="B440" s="90"/>
      <c r="C440" s="90"/>
      <c r="D440" s="90"/>
      <c r="E440" s="90"/>
      <c r="F440" s="90"/>
      <c r="G440" s="90"/>
      <c r="H440" s="101"/>
      <c r="I440" s="90"/>
      <c r="J440" s="90"/>
      <c r="K440" s="90"/>
      <c r="L440" s="90"/>
      <c r="M440" s="866"/>
      <c r="N440" s="864"/>
      <c r="O440" s="90"/>
      <c r="P440" s="90"/>
      <c r="Q440" s="90"/>
      <c r="R440" s="90"/>
      <c r="S440" s="90"/>
      <c r="T440" s="90"/>
      <c r="U440" s="90"/>
      <c r="V440" s="90"/>
    </row>
    <row r="441" spans="2:22" ht="18" customHeight="1">
      <c r="B441" s="90"/>
      <c r="C441" s="90"/>
      <c r="D441" s="90"/>
      <c r="E441" s="90"/>
      <c r="F441" s="90"/>
      <c r="G441" s="90"/>
      <c r="H441" s="101"/>
      <c r="I441" s="90"/>
      <c r="J441" s="90"/>
      <c r="K441" s="90"/>
      <c r="L441" s="90"/>
      <c r="M441" s="866"/>
      <c r="N441" s="864"/>
      <c r="O441" s="90"/>
      <c r="P441" s="90"/>
      <c r="Q441" s="90"/>
      <c r="R441" s="90"/>
      <c r="S441" s="90"/>
      <c r="T441" s="90"/>
      <c r="U441" s="90"/>
      <c r="V441" s="90"/>
    </row>
    <row r="442" spans="2:22" ht="18" customHeight="1">
      <c r="B442" s="90"/>
      <c r="C442" s="90"/>
      <c r="D442" s="90"/>
      <c r="E442" s="90"/>
      <c r="F442" s="90"/>
      <c r="G442" s="90"/>
      <c r="H442" s="101"/>
      <c r="I442" s="90"/>
      <c r="J442" s="90"/>
      <c r="K442" s="90"/>
      <c r="L442" s="90"/>
      <c r="M442" s="866"/>
      <c r="N442" s="864"/>
      <c r="O442" s="90"/>
      <c r="P442" s="90"/>
      <c r="Q442" s="90"/>
      <c r="R442" s="90"/>
      <c r="S442" s="90"/>
      <c r="T442" s="90"/>
      <c r="U442" s="90"/>
      <c r="V442" s="90"/>
    </row>
    <row r="443" spans="2:22" ht="18" customHeight="1">
      <c r="B443" s="90"/>
      <c r="C443" s="90"/>
      <c r="D443" s="90"/>
      <c r="E443" s="90"/>
      <c r="F443" s="90"/>
      <c r="G443" s="90"/>
      <c r="H443" s="101"/>
      <c r="I443" s="90"/>
      <c r="J443" s="90"/>
      <c r="K443" s="90"/>
      <c r="L443" s="90"/>
      <c r="M443" s="866"/>
      <c r="N443" s="864"/>
      <c r="O443" s="90"/>
      <c r="P443" s="90"/>
      <c r="Q443" s="90"/>
      <c r="R443" s="90"/>
      <c r="S443" s="90"/>
      <c r="T443" s="90"/>
      <c r="U443" s="90"/>
      <c r="V443" s="90"/>
    </row>
    <row r="444" spans="2:22" ht="18" customHeight="1">
      <c r="B444" s="90"/>
      <c r="C444" s="90"/>
      <c r="D444" s="90"/>
      <c r="E444" s="90"/>
      <c r="F444" s="90"/>
      <c r="G444" s="90"/>
      <c r="H444" s="101"/>
      <c r="I444" s="90"/>
      <c r="J444" s="90"/>
      <c r="K444" s="90"/>
      <c r="L444" s="90"/>
      <c r="M444" s="866"/>
      <c r="N444" s="864"/>
      <c r="O444" s="90"/>
      <c r="P444" s="90"/>
      <c r="Q444" s="90"/>
      <c r="R444" s="90"/>
      <c r="S444" s="90"/>
      <c r="T444" s="90"/>
      <c r="U444" s="90"/>
      <c r="V444" s="90"/>
    </row>
    <row r="445" spans="2:22" ht="18" customHeight="1">
      <c r="B445" s="90"/>
      <c r="C445" s="90"/>
      <c r="D445" s="90"/>
      <c r="E445" s="90"/>
      <c r="F445" s="90"/>
      <c r="G445" s="90"/>
      <c r="H445" s="101"/>
      <c r="I445" s="90"/>
      <c r="J445" s="90"/>
      <c r="K445" s="90"/>
      <c r="L445" s="90"/>
      <c r="M445" s="866"/>
      <c r="N445" s="864"/>
      <c r="O445" s="90"/>
      <c r="P445" s="90"/>
      <c r="Q445" s="90"/>
      <c r="R445" s="90"/>
      <c r="S445" s="90"/>
      <c r="T445" s="90"/>
      <c r="U445" s="90"/>
      <c r="V445" s="90"/>
    </row>
    <row r="446" spans="2:22" ht="18" customHeight="1">
      <c r="B446" s="90"/>
      <c r="C446" s="90"/>
      <c r="D446" s="90"/>
      <c r="E446" s="90"/>
      <c r="F446" s="90"/>
      <c r="G446" s="90"/>
      <c r="H446" s="101"/>
      <c r="I446" s="90"/>
      <c r="J446" s="90"/>
      <c r="K446" s="90"/>
      <c r="L446" s="90"/>
      <c r="M446" s="866"/>
      <c r="N446" s="864"/>
      <c r="O446" s="90"/>
      <c r="P446" s="90"/>
      <c r="Q446" s="90"/>
      <c r="R446" s="90"/>
      <c r="S446" s="90"/>
      <c r="T446" s="90"/>
      <c r="U446" s="90"/>
      <c r="V446" s="90"/>
    </row>
    <row r="447" spans="2:22" ht="18" customHeight="1">
      <c r="B447" s="90"/>
      <c r="C447" s="90"/>
      <c r="D447" s="90"/>
      <c r="E447" s="90"/>
      <c r="F447" s="90"/>
      <c r="G447" s="90"/>
      <c r="H447" s="101"/>
      <c r="I447" s="90"/>
      <c r="J447" s="90"/>
      <c r="K447" s="90"/>
      <c r="L447" s="90"/>
      <c r="M447" s="866"/>
      <c r="N447" s="864"/>
      <c r="O447" s="90"/>
      <c r="P447" s="90"/>
      <c r="Q447" s="90"/>
      <c r="R447" s="90"/>
      <c r="S447" s="90"/>
      <c r="T447" s="90"/>
      <c r="U447" s="90"/>
      <c r="V447" s="90"/>
    </row>
    <row r="448" spans="2:22" ht="18" customHeight="1">
      <c r="B448" s="90"/>
      <c r="C448" s="90"/>
      <c r="D448" s="90"/>
      <c r="E448" s="90"/>
      <c r="F448" s="90"/>
      <c r="G448" s="90"/>
      <c r="H448" s="101"/>
      <c r="I448" s="90"/>
      <c r="J448" s="90"/>
      <c r="K448" s="90"/>
      <c r="L448" s="90"/>
      <c r="M448" s="866"/>
      <c r="N448" s="864"/>
      <c r="O448" s="90"/>
      <c r="P448" s="90"/>
      <c r="Q448" s="90"/>
      <c r="R448" s="90"/>
      <c r="S448" s="90"/>
      <c r="T448" s="90"/>
      <c r="U448" s="90"/>
      <c r="V448" s="90"/>
    </row>
    <row r="449" spans="2:22" ht="18" customHeight="1">
      <c r="B449" s="90"/>
      <c r="C449" s="90"/>
      <c r="D449" s="90"/>
      <c r="E449" s="90"/>
      <c r="F449" s="90"/>
      <c r="G449" s="90"/>
      <c r="H449" s="101"/>
      <c r="I449" s="90"/>
      <c r="J449" s="90"/>
      <c r="K449" s="90"/>
      <c r="L449" s="90"/>
      <c r="M449" s="866"/>
      <c r="N449" s="864"/>
      <c r="O449" s="90"/>
      <c r="P449" s="90"/>
      <c r="Q449" s="90"/>
      <c r="R449" s="90"/>
      <c r="S449" s="90"/>
      <c r="T449" s="90"/>
      <c r="U449" s="90"/>
      <c r="V449" s="90"/>
    </row>
    <row r="450" spans="2:22" ht="18" customHeight="1">
      <c r="B450" s="90"/>
      <c r="C450" s="90"/>
      <c r="D450" s="90"/>
      <c r="E450" s="90"/>
      <c r="F450" s="90"/>
      <c r="G450" s="90"/>
      <c r="H450" s="101"/>
      <c r="I450" s="90"/>
      <c r="J450" s="90"/>
      <c r="K450" s="90"/>
      <c r="L450" s="90"/>
      <c r="M450" s="866"/>
      <c r="N450" s="864"/>
      <c r="O450" s="90"/>
      <c r="P450" s="90"/>
      <c r="Q450" s="90"/>
      <c r="R450" s="90"/>
      <c r="S450" s="90"/>
      <c r="T450" s="90"/>
      <c r="U450" s="90"/>
      <c r="V450" s="90"/>
    </row>
    <row r="451" spans="2:22" ht="18" customHeight="1">
      <c r="B451" s="90"/>
      <c r="C451" s="90"/>
      <c r="D451" s="90"/>
      <c r="E451" s="90"/>
      <c r="F451" s="90"/>
      <c r="G451" s="90"/>
      <c r="H451" s="101"/>
      <c r="I451" s="90"/>
      <c r="J451" s="90"/>
      <c r="K451" s="90"/>
      <c r="L451" s="90"/>
      <c r="M451" s="866"/>
      <c r="N451" s="864"/>
      <c r="O451" s="90"/>
      <c r="P451" s="90"/>
      <c r="Q451" s="90"/>
      <c r="R451" s="90"/>
      <c r="S451" s="90"/>
      <c r="T451" s="90"/>
      <c r="U451" s="90"/>
      <c r="V451" s="90"/>
    </row>
    <row r="452" spans="2:22" ht="18" customHeight="1">
      <c r="B452" s="90"/>
      <c r="C452" s="90"/>
      <c r="D452" s="90"/>
      <c r="E452" s="90"/>
      <c r="F452" s="90"/>
      <c r="G452" s="90"/>
      <c r="H452" s="101"/>
      <c r="I452" s="90"/>
      <c r="J452" s="90"/>
      <c r="K452" s="90"/>
      <c r="L452" s="90"/>
      <c r="M452" s="866"/>
      <c r="N452" s="864"/>
      <c r="O452" s="90"/>
      <c r="P452" s="90"/>
      <c r="Q452" s="90"/>
      <c r="R452" s="90"/>
      <c r="S452" s="90"/>
      <c r="T452" s="90"/>
      <c r="U452" s="90"/>
      <c r="V452" s="90"/>
    </row>
    <row r="453" spans="2:22" ht="18" customHeight="1">
      <c r="B453" s="90"/>
      <c r="C453" s="90"/>
      <c r="D453" s="90"/>
      <c r="E453" s="90"/>
      <c r="F453" s="90"/>
      <c r="G453" s="90"/>
      <c r="H453" s="101"/>
      <c r="I453" s="90"/>
      <c r="J453" s="90"/>
      <c r="K453" s="90"/>
      <c r="L453" s="90"/>
      <c r="M453" s="866"/>
      <c r="N453" s="864"/>
      <c r="O453" s="90"/>
      <c r="P453" s="90"/>
      <c r="Q453" s="90"/>
      <c r="R453" s="90"/>
      <c r="S453" s="90"/>
      <c r="T453" s="90"/>
      <c r="U453" s="90"/>
      <c r="V453" s="90"/>
    </row>
    <row r="454" spans="2:22" ht="18" customHeight="1">
      <c r="B454" s="90"/>
      <c r="C454" s="90"/>
      <c r="D454" s="90"/>
      <c r="E454" s="90"/>
      <c r="F454" s="90"/>
      <c r="G454" s="90"/>
      <c r="H454" s="101"/>
      <c r="I454" s="90"/>
      <c r="J454" s="90"/>
      <c r="K454" s="90"/>
      <c r="L454" s="90"/>
      <c r="M454" s="866"/>
      <c r="N454" s="864"/>
      <c r="O454" s="90"/>
      <c r="P454" s="90"/>
      <c r="Q454" s="90"/>
      <c r="R454" s="90"/>
      <c r="S454" s="90"/>
      <c r="T454" s="90"/>
      <c r="U454" s="90"/>
      <c r="V454" s="90"/>
    </row>
    <row r="455" spans="2:22" ht="18" customHeight="1">
      <c r="B455" s="90"/>
      <c r="C455" s="90"/>
      <c r="D455" s="90"/>
      <c r="E455" s="90"/>
      <c r="F455" s="90"/>
      <c r="G455" s="90"/>
      <c r="H455" s="101"/>
      <c r="I455" s="90"/>
      <c r="J455" s="90"/>
      <c r="K455" s="90"/>
      <c r="L455" s="90"/>
      <c r="M455" s="866"/>
      <c r="N455" s="864"/>
      <c r="O455" s="90"/>
      <c r="P455" s="90"/>
      <c r="Q455" s="90"/>
      <c r="R455" s="90"/>
      <c r="S455" s="90"/>
      <c r="T455" s="90"/>
      <c r="U455" s="90"/>
      <c r="V455" s="90"/>
    </row>
    <row r="456" spans="2:22" ht="18" customHeight="1">
      <c r="B456" s="90"/>
      <c r="C456" s="90"/>
      <c r="D456" s="90"/>
      <c r="E456" s="90"/>
      <c r="F456" s="90"/>
      <c r="G456" s="90"/>
      <c r="H456" s="101"/>
      <c r="I456" s="90"/>
      <c r="J456" s="90"/>
      <c r="K456" s="90"/>
      <c r="L456" s="90"/>
      <c r="M456" s="866"/>
      <c r="N456" s="864"/>
      <c r="O456" s="90"/>
      <c r="P456" s="90"/>
      <c r="Q456" s="90"/>
      <c r="R456" s="90"/>
      <c r="S456" s="90"/>
      <c r="T456" s="90"/>
      <c r="U456" s="90"/>
      <c r="V456" s="90"/>
    </row>
    <row r="457" spans="2:22" ht="18" customHeight="1">
      <c r="B457" s="90"/>
      <c r="C457" s="90"/>
      <c r="D457" s="90"/>
      <c r="E457" s="90"/>
      <c r="F457" s="90"/>
      <c r="G457" s="90"/>
      <c r="H457" s="101"/>
      <c r="I457" s="90"/>
      <c r="J457" s="90"/>
      <c r="K457" s="90"/>
      <c r="L457" s="90"/>
      <c r="M457" s="866"/>
      <c r="N457" s="864"/>
      <c r="O457" s="90"/>
      <c r="P457" s="90"/>
      <c r="Q457" s="90"/>
      <c r="R457" s="90"/>
      <c r="S457" s="90"/>
      <c r="T457" s="90"/>
      <c r="U457" s="90"/>
      <c r="V457" s="90"/>
    </row>
    <row r="458" spans="2:22" ht="18" customHeight="1">
      <c r="B458" s="90"/>
      <c r="C458" s="90"/>
      <c r="D458" s="90"/>
      <c r="E458" s="90"/>
      <c r="F458" s="90"/>
      <c r="G458" s="90"/>
      <c r="H458" s="101"/>
      <c r="I458" s="90"/>
      <c r="J458" s="90"/>
      <c r="K458" s="90"/>
      <c r="L458" s="90"/>
      <c r="M458" s="866"/>
      <c r="N458" s="864"/>
      <c r="O458" s="90"/>
      <c r="P458" s="90"/>
      <c r="Q458" s="90"/>
      <c r="R458" s="90"/>
      <c r="S458" s="90"/>
      <c r="T458" s="90"/>
      <c r="U458" s="90"/>
      <c r="V458" s="90"/>
    </row>
    <row r="459" spans="2:22" ht="18" customHeight="1">
      <c r="B459" s="90"/>
      <c r="C459" s="90"/>
      <c r="D459" s="90"/>
      <c r="E459" s="90"/>
      <c r="F459" s="90"/>
      <c r="G459" s="90"/>
      <c r="H459" s="101"/>
      <c r="I459" s="90"/>
      <c r="J459" s="90"/>
      <c r="K459" s="90"/>
      <c r="L459" s="90"/>
      <c r="M459" s="866"/>
      <c r="N459" s="864"/>
      <c r="O459" s="90"/>
      <c r="P459" s="90"/>
      <c r="Q459" s="90"/>
      <c r="R459" s="90"/>
      <c r="S459" s="90"/>
      <c r="T459" s="90"/>
      <c r="U459" s="90"/>
      <c r="V459" s="90"/>
    </row>
    <row r="460" spans="2:22" ht="18" customHeight="1">
      <c r="B460" s="90"/>
      <c r="C460" s="90"/>
      <c r="D460" s="90"/>
      <c r="E460" s="90"/>
      <c r="F460" s="90"/>
      <c r="G460" s="90"/>
      <c r="H460" s="101"/>
      <c r="I460" s="90"/>
      <c r="J460" s="90"/>
      <c r="K460" s="90"/>
      <c r="L460" s="90"/>
      <c r="M460" s="866"/>
      <c r="N460" s="864"/>
      <c r="O460" s="90"/>
      <c r="P460" s="90"/>
      <c r="Q460" s="90"/>
      <c r="R460" s="90"/>
      <c r="S460" s="90"/>
      <c r="T460" s="90"/>
      <c r="U460" s="90"/>
      <c r="V460" s="90"/>
    </row>
    <row r="461" spans="2:22" ht="18" customHeight="1">
      <c r="B461" s="90"/>
      <c r="C461" s="90"/>
      <c r="D461" s="90"/>
      <c r="E461" s="90"/>
      <c r="F461" s="90"/>
      <c r="G461" s="90"/>
      <c r="H461" s="101"/>
      <c r="I461" s="90"/>
      <c r="J461" s="90"/>
      <c r="K461" s="90"/>
      <c r="L461" s="90"/>
      <c r="M461" s="866"/>
      <c r="N461" s="864"/>
      <c r="O461" s="90"/>
      <c r="P461" s="90"/>
      <c r="Q461" s="90"/>
      <c r="R461" s="90"/>
      <c r="S461" s="90"/>
      <c r="T461" s="90"/>
      <c r="U461" s="90"/>
      <c r="V461" s="90"/>
    </row>
    <row r="462" spans="2:22" ht="18" customHeight="1">
      <c r="B462" s="90"/>
      <c r="C462" s="90"/>
      <c r="D462" s="90"/>
      <c r="E462" s="90"/>
      <c r="F462" s="90"/>
      <c r="G462" s="90"/>
      <c r="H462" s="101"/>
      <c r="I462" s="90"/>
      <c r="J462" s="90"/>
      <c r="K462" s="90"/>
      <c r="L462" s="90"/>
      <c r="M462" s="866"/>
      <c r="N462" s="864"/>
      <c r="O462" s="90"/>
      <c r="P462" s="90"/>
      <c r="Q462" s="90"/>
      <c r="R462" s="90"/>
      <c r="S462" s="90"/>
      <c r="T462" s="90"/>
      <c r="U462" s="90"/>
      <c r="V462" s="90"/>
    </row>
    <row r="463" spans="2:22" ht="18" customHeight="1">
      <c r="B463" s="90"/>
      <c r="C463" s="90"/>
      <c r="D463" s="90"/>
      <c r="E463" s="90"/>
      <c r="F463" s="90"/>
      <c r="G463" s="90"/>
      <c r="H463" s="101"/>
      <c r="I463" s="90"/>
      <c r="J463" s="90"/>
      <c r="K463" s="90"/>
      <c r="L463" s="90"/>
      <c r="M463" s="866"/>
      <c r="N463" s="864"/>
      <c r="O463" s="90"/>
      <c r="P463" s="90"/>
      <c r="Q463" s="90"/>
      <c r="R463" s="90"/>
      <c r="S463" s="90"/>
      <c r="T463" s="90"/>
      <c r="U463" s="90"/>
      <c r="V463" s="90"/>
    </row>
    <row r="464" spans="2:22" ht="18" customHeight="1">
      <c r="B464" s="90"/>
      <c r="C464" s="90"/>
      <c r="D464" s="90"/>
      <c r="E464" s="90"/>
      <c r="F464" s="90"/>
      <c r="G464" s="90"/>
      <c r="H464" s="101"/>
      <c r="I464" s="90"/>
      <c r="J464" s="90"/>
      <c r="K464" s="90"/>
      <c r="L464" s="90"/>
      <c r="M464" s="866"/>
      <c r="N464" s="864"/>
      <c r="O464" s="90"/>
      <c r="P464" s="90"/>
      <c r="Q464" s="90"/>
      <c r="R464" s="90"/>
      <c r="S464" s="90"/>
      <c r="T464" s="90"/>
      <c r="U464" s="90"/>
      <c r="V464" s="90"/>
    </row>
    <row r="465" spans="2:22" ht="18" customHeight="1">
      <c r="B465" s="90"/>
      <c r="C465" s="90"/>
      <c r="D465" s="90"/>
      <c r="E465" s="90"/>
      <c r="F465" s="90"/>
      <c r="G465" s="90"/>
      <c r="H465" s="101"/>
      <c r="I465" s="90"/>
      <c r="J465" s="90"/>
      <c r="K465" s="90"/>
      <c r="L465" s="90"/>
      <c r="M465" s="866"/>
      <c r="N465" s="864"/>
      <c r="O465" s="90"/>
      <c r="P465" s="90"/>
      <c r="Q465" s="90"/>
      <c r="R465" s="90"/>
      <c r="S465" s="90"/>
      <c r="T465" s="90"/>
      <c r="U465" s="90"/>
      <c r="V465" s="90"/>
    </row>
    <row r="466" spans="2:22" ht="18" customHeight="1">
      <c r="B466" s="90"/>
      <c r="C466" s="90"/>
      <c r="D466" s="90"/>
      <c r="E466" s="90"/>
      <c r="F466" s="90"/>
      <c r="G466" s="90"/>
      <c r="H466" s="101"/>
      <c r="I466" s="90"/>
      <c r="J466" s="90"/>
      <c r="K466" s="90"/>
      <c r="L466" s="90"/>
      <c r="M466" s="866"/>
      <c r="N466" s="864"/>
      <c r="O466" s="90"/>
      <c r="P466" s="90"/>
      <c r="Q466" s="90"/>
      <c r="R466" s="90"/>
      <c r="S466" s="90"/>
      <c r="T466" s="90"/>
      <c r="U466" s="90"/>
      <c r="V466" s="90"/>
    </row>
    <row r="467" spans="2:22" ht="18" customHeight="1">
      <c r="B467" s="90"/>
      <c r="C467" s="90"/>
      <c r="D467" s="90"/>
      <c r="E467" s="90"/>
      <c r="F467" s="90"/>
      <c r="G467" s="90"/>
      <c r="H467" s="101"/>
      <c r="I467" s="90"/>
      <c r="J467" s="90"/>
      <c r="K467" s="90"/>
      <c r="L467" s="90"/>
      <c r="M467" s="866"/>
      <c r="N467" s="864"/>
      <c r="O467" s="90"/>
      <c r="P467" s="90"/>
      <c r="Q467" s="90"/>
      <c r="R467" s="90"/>
      <c r="S467" s="90"/>
      <c r="T467" s="90"/>
      <c r="U467" s="90"/>
      <c r="V467" s="90"/>
    </row>
    <row r="468" spans="2:22" ht="18" customHeight="1">
      <c r="B468" s="90"/>
      <c r="C468" s="90"/>
      <c r="D468" s="90"/>
      <c r="E468" s="90"/>
      <c r="F468" s="90"/>
      <c r="G468" s="90"/>
      <c r="H468" s="101"/>
      <c r="I468" s="90"/>
      <c r="J468" s="90"/>
      <c r="K468" s="90"/>
      <c r="L468" s="90"/>
      <c r="M468" s="866"/>
      <c r="N468" s="864"/>
      <c r="O468" s="90"/>
      <c r="P468" s="90"/>
      <c r="Q468" s="90"/>
      <c r="R468" s="90"/>
      <c r="S468" s="90"/>
      <c r="T468" s="90"/>
      <c r="U468" s="90"/>
      <c r="V468" s="90"/>
    </row>
    <row r="469" spans="2:22" ht="18" customHeight="1">
      <c r="B469" s="90"/>
      <c r="C469" s="90"/>
      <c r="D469" s="90"/>
      <c r="E469" s="90"/>
      <c r="F469" s="90"/>
      <c r="G469" s="90"/>
      <c r="H469" s="101"/>
      <c r="I469" s="90"/>
      <c r="J469" s="90"/>
      <c r="K469" s="90"/>
      <c r="L469" s="90"/>
      <c r="M469" s="866"/>
      <c r="N469" s="864"/>
      <c r="O469" s="90"/>
      <c r="P469" s="90"/>
      <c r="Q469" s="90"/>
      <c r="R469" s="90"/>
      <c r="S469" s="90"/>
      <c r="T469" s="90"/>
      <c r="U469" s="90"/>
      <c r="V469" s="90"/>
    </row>
    <row r="470" spans="2:22" ht="18" customHeight="1">
      <c r="B470" s="90"/>
      <c r="C470" s="90"/>
      <c r="D470" s="90"/>
      <c r="E470" s="90"/>
      <c r="F470" s="90"/>
      <c r="G470" s="90"/>
      <c r="H470" s="101"/>
      <c r="I470" s="90"/>
      <c r="J470" s="90"/>
      <c r="K470" s="90"/>
      <c r="L470" s="90"/>
      <c r="M470" s="866"/>
      <c r="N470" s="864"/>
      <c r="O470" s="90"/>
      <c r="P470" s="90"/>
      <c r="Q470" s="90"/>
      <c r="R470" s="90"/>
      <c r="S470" s="90"/>
      <c r="T470" s="90"/>
      <c r="U470" s="90"/>
      <c r="V470" s="90"/>
    </row>
    <row r="471" spans="2:22" ht="18" customHeight="1">
      <c r="B471" s="90"/>
      <c r="C471" s="90"/>
      <c r="D471" s="90"/>
      <c r="E471" s="90"/>
      <c r="F471" s="90"/>
      <c r="G471" s="90"/>
      <c r="H471" s="101"/>
      <c r="I471" s="90"/>
      <c r="J471" s="90"/>
      <c r="K471" s="90"/>
      <c r="L471" s="90"/>
      <c r="M471" s="866"/>
      <c r="N471" s="864"/>
      <c r="O471" s="90"/>
      <c r="P471" s="90"/>
      <c r="Q471" s="90"/>
      <c r="R471" s="90"/>
      <c r="S471" s="90"/>
      <c r="T471" s="90"/>
      <c r="U471" s="90"/>
      <c r="V471" s="90"/>
    </row>
    <row r="472" spans="2:22" ht="18" customHeight="1">
      <c r="B472" s="90"/>
      <c r="C472" s="90"/>
      <c r="D472" s="90"/>
      <c r="E472" s="90"/>
      <c r="F472" s="90"/>
      <c r="G472" s="90"/>
      <c r="H472" s="101"/>
      <c r="I472" s="90"/>
      <c r="J472" s="90"/>
      <c r="K472" s="90"/>
      <c r="L472" s="90"/>
      <c r="M472" s="866"/>
      <c r="N472" s="864"/>
      <c r="O472" s="90"/>
      <c r="P472" s="90"/>
      <c r="Q472" s="90"/>
      <c r="R472" s="90"/>
      <c r="S472" s="90"/>
      <c r="T472" s="90"/>
      <c r="U472" s="90"/>
      <c r="V472" s="90"/>
    </row>
    <row r="473" spans="2:22" ht="18" customHeight="1">
      <c r="B473" s="90"/>
      <c r="C473" s="90"/>
      <c r="D473" s="90"/>
      <c r="E473" s="90"/>
      <c r="F473" s="90"/>
      <c r="G473" s="90"/>
      <c r="H473" s="101"/>
      <c r="I473" s="90"/>
      <c r="J473" s="90"/>
      <c r="K473" s="90"/>
      <c r="L473" s="90"/>
      <c r="M473" s="866"/>
      <c r="N473" s="864"/>
      <c r="O473" s="90"/>
      <c r="P473" s="90"/>
      <c r="Q473" s="90"/>
      <c r="R473" s="90"/>
      <c r="S473" s="90"/>
      <c r="T473" s="90"/>
      <c r="U473" s="90"/>
      <c r="V473" s="90"/>
    </row>
    <row r="474" spans="2:22" ht="18" customHeight="1">
      <c r="B474" s="90"/>
      <c r="C474" s="90"/>
      <c r="D474" s="90"/>
      <c r="E474" s="90"/>
      <c r="F474" s="90"/>
      <c r="G474" s="90"/>
      <c r="H474" s="101"/>
      <c r="I474" s="90"/>
      <c r="J474" s="90"/>
      <c r="K474" s="90"/>
      <c r="L474" s="90"/>
      <c r="M474" s="866"/>
      <c r="N474" s="864"/>
      <c r="O474" s="90"/>
      <c r="P474" s="90"/>
      <c r="Q474" s="90"/>
      <c r="R474" s="90"/>
      <c r="S474" s="90"/>
      <c r="T474" s="90"/>
      <c r="U474" s="90"/>
      <c r="V474" s="90"/>
    </row>
    <row r="475" spans="2:22" ht="18" customHeight="1">
      <c r="B475" s="90"/>
      <c r="C475" s="90"/>
      <c r="D475" s="90"/>
      <c r="E475" s="90"/>
      <c r="F475" s="90"/>
      <c r="G475" s="90"/>
      <c r="H475" s="101"/>
      <c r="I475" s="90"/>
      <c r="J475" s="90"/>
      <c r="K475" s="90"/>
      <c r="L475" s="90"/>
      <c r="M475" s="866"/>
      <c r="N475" s="864"/>
      <c r="O475" s="90"/>
      <c r="P475" s="90"/>
      <c r="Q475" s="90"/>
      <c r="R475" s="90"/>
      <c r="S475" s="90"/>
      <c r="T475" s="90"/>
      <c r="U475" s="90"/>
      <c r="V475" s="90"/>
    </row>
    <row r="476" spans="2:22" ht="18" customHeight="1">
      <c r="B476" s="90"/>
      <c r="C476" s="90"/>
      <c r="D476" s="90"/>
      <c r="E476" s="90"/>
      <c r="F476" s="90"/>
      <c r="G476" s="90"/>
      <c r="H476" s="101"/>
      <c r="I476" s="90"/>
      <c r="J476" s="90"/>
      <c r="K476" s="90"/>
      <c r="L476" s="90"/>
      <c r="M476" s="866"/>
      <c r="N476" s="864"/>
      <c r="O476" s="90"/>
      <c r="P476" s="90"/>
      <c r="Q476" s="90"/>
      <c r="R476" s="90"/>
      <c r="S476" s="90"/>
      <c r="T476" s="90"/>
      <c r="U476" s="90"/>
      <c r="V476" s="90"/>
    </row>
    <row r="477" spans="2:22" ht="18" customHeight="1">
      <c r="B477" s="90"/>
      <c r="C477" s="90"/>
      <c r="D477" s="90"/>
      <c r="E477" s="90"/>
      <c r="F477" s="90"/>
      <c r="G477" s="90"/>
      <c r="H477" s="101"/>
      <c r="I477" s="90"/>
      <c r="J477" s="90"/>
      <c r="K477" s="90"/>
      <c r="L477" s="90"/>
      <c r="M477" s="866"/>
      <c r="N477" s="864"/>
      <c r="O477" s="90"/>
      <c r="P477" s="90"/>
      <c r="Q477" s="90"/>
      <c r="R477" s="90"/>
      <c r="S477" s="90"/>
      <c r="T477" s="90"/>
      <c r="U477" s="90"/>
      <c r="V477" s="90"/>
    </row>
    <row r="478" spans="2:22" ht="18" customHeight="1">
      <c r="B478" s="90"/>
      <c r="C478" s="90"/>
      <c r="D478" s="90"/>
      <c r="E478" s="90"/>
      <c r="F478" s="90"/>
      <c r="G478" s="90"/>
      <c r="H478" s="101"/>
      <c r="I478" s="90"/>
      <c r="J478" s="90"/>
      <c r="K478" s="90"/>
      <c r="L478" s="90"/>
      <c r="M478" s="866"/>
      <c r="N478" s="864"/>
      <c r="O478" s="90"/>
      <c r="P478" s="90"/>
      <c r="Q478" s="90"/>
      <c r="R478" s="90"/>
      <c r="S478" s="90"/>
      <c r="T478" s="90"/>
      <c r="U478" s="90"/>
      <c r="V478" s="90"/>
    </row>
    <row r="479" spans="2:22" ht="18" customHeight="1">
      <c r="B479" s="90"/>
      <c r="C479" s="90"/>
      <c r="D479" s="90"/>
      <c r="E479" s="90"/>
      <c r="F479" s="90"/>
      <c r="G479" s="90"/>
      <c r="H479" s="101"/>
      <c r="I479" s="90"/>
      <c r="J479" s="90"/>
      <c r="K479" s="90"/>
      <c r="L479" s="90"/>
      <c r="M479" s="866"/>
      <c r="N479" s="864"/>
      <c r="O479" s="90"/>
      <c r="P479" s="90"/>
      <c r="Q479" s="90"/>
      <c r="R479" s="90"/>
      <c r="S479" s="90"/>
      <c r="T479" s="90"/>
      <c r="U479" s="90"/>
      <c r="V479" s="90"/>
    </row>
    <row r="480" spans="2:22" ht="18" customHeight="1">
      <c r="B480" s="90"/>
      <c r="C480" s="90"/>
      <c r="D480" s="90"/>
      <c r="E480" s="90"/>
      <c r="F480" s="90"/>
      <c r="G480" s="90"/>
      <c r="H480" s="101"/>
      <c r="I480" s="90"/>
      <c r="J480" s="90"/>
      <c r="K480" s="90"/>
      <c r="L480" s="90"/>
      <c r="M480" s="865"/>
      <c r="N480" s="864"/>
      <c r="O480" s="90"/>
      <c r="P480" s="90"/>
      <c r="Q480" s="90"/>
      <c r="R480" s="90"/>
      <c r="S480" s="90"/>
      <c r="T480" s="90"/>
      <c r="U480" s="90"/>
      <c r="V480" s="90"/>
    </row>
    <row r="481" spans="2:22" ht="18" customHeight="1">
      <c r="B481" s="90"/>
      <c r="C481" s="90"/>
      <c r="D481" s="90"/>
      <c r="E481" s="90"/>
      <c r="F481" s="90"/>
      <c r="G481" s="90"/>
      <c r="H481" s="101"/>
      <c r="I481" s="90"/>
      <c r="J481" s="90"/>
      <c r="K481" s="90"/>
      <c r="L481" s="90"/>
      <c r="M481" s="865"/>
      <c r="N481" s="864"/>
      <c r="O481" s="90"/>
      <c r="P481" s="90"/>
      <c r="Q481" s="90"/>
      <c r="R481" s="90"/>
      <c r="S481" s="90"/>
      <c r="T481" s="90"/>
      <c r="U481" s="90"/>
      <c r="V481" s="90"/>
    </row>
    <row r="482" spans="2:22" ht="18" customHeight="1">
      <c r="B482" s="90"/>
      <c r="C482" s="90"/>
      <c r="D482" s="90"/>
      <c r="E482" s="90"/>
      <c r="F482" s="90"/>
      <c r="G482" s="90"/>
      <c r="H482" s="101"/>
      <c r="I482" s="90"/>
      <c r="J482" s="90"/>
      <c r="K482" s="90"/>
      <c r="L482" s="90"/>
      <c r="M482" s="865"/>
      <c r="N482" s="864"/>
      <c r="O482" s="90"/>
      <c r="P482" s="90"/>
      <c r="Q482" s="90"/>
      <c r="R482" s="90"/>
      <c r="S482" s="90"/>
      <c r="T482" s="90"/>
      <c r="U482" s="90"/>
      <c r="V482" s="90"/>
    </row>
    <row r="483" spans="2:22" ht="18" customHeight="1">
      <c r="B483" s="90"/>
      <c r="C483" s="90"/>
      <c r="D483" s="90"/>
      <c r="E483" s="90"/>
      <c r="F483" s="90"/>
      <c r="G483" s="90"/>
      <c r="H483" s="101"/>
      <c r="I483" s="90"/>
      <c r="J483" s="90"/>
      <c r="K483" s="90"/>
      <c r="L483" s="90"/>
      <c r="M483" s="865"/>
      <c r="N483" s="864"/>
      <c r="O483" s="90"/>
      <c r="P483" s="90"/>
      <c r="Q483" s="90"/>
      <c r="R483" s="90"/>
      <c r="S483" s="90"/>
      <c r="T483" s="90"/>
      <c r="U483" s="90"/>
      <c r="V483" s="90"/>
    </row>
    <row r="484" spans="2:22" ht="18" customHeight="1">
      <c r="B484" s="90"/>
      <c r="C484" s="90"/>
      <c r="D484" s="90"/>
      <c r="E484" s="90"/>
      <c r="F484" s="90"/>
      <c r="G484" s="90"/>
      <c r="H484" s="101"/>
      <c r="I484" s="90"/>
      <c r="J484" s="90"/>
      <c r="K484" s="90"/>
      <c r="L484" s="90"/>
      <c r="M484" s="865"/>
      <c r="N484" s="864"/>
      <c r="O484" s="90"/>
      <c r="P484" s="90"/>
      <c r="Q484" s="90"/>
      <c r="R484" s="90"/>
      <c r="S484" s="90"/>
      <c r="T484" s="90"/>
      <c r="U484" s="90"/>
      <c r="V484" s="90"/>
    </row>
    <row r="485" spans="2:22" ht="18" customHeight="1">
      <c r="B485" s="90"/>
      <c r="C485" s="90"/>
      <c r="D485" s="90"/>
      <c r="E485" s="90"/>
      <c r="F485" s="90"/>
      <c r="G485" s="90"/>
      <c r="H485" s="101"/>
      <c r="I485" s="90"/>
      <c r="J485" s="90"/>
      <c r="K485" s="90"/>
      <c r="L485" s="90"/>
      <c r="M485" s="865"/>
      <c r="N485" s="864"/>
      <c r="O485" s="90"/>
      <c r="P485" s="90"/>
      <c r="Q485" s="90"/>
      <c r="R485" s="90"/>
      <c r="S485" s="90"/>
      <c r="T485" s="90"/>
      <c r="U485" s="90"/>
      <c r="V485" s="90"/>
    </row>
    <row r="486" spans="2:22" ht="18" customHeight="1">
      <c r="B486" s="90"/>
      <c r="C486" s="90"/>
      <c r="D486" s="90"/>
      <c r="E486" s="90"/>
      <c r="F486" s="90"/>
      <c r="G486" s="90"/>
      <c r="H486" s="101"/>
      <c r="I486" s="90"/>
      <c r="J486" s="90"/>
      <c r="K486" s="90"/>
      <c r="L486" s="90"/>
      <c r="M486" s="865"/>
      <c r="N486" s="864"/>
      <c r="O486" s="90"/>
      <c r="P486" s="90"/>
      <c r="Q486" s="90"/>
      <c r="R486" s="90"/>
      <c r="S486" s="90"/>
      <c r="T486" s="90"/>
      <c r="U486" s="90"/>
      <c r="V486" s="90"/>
    </row>
    <row r="487" spans="2:22" ht="18" customHeight="1">
      <c r="B487" s="90"/>
      <c r="C487" s="90"/>
      <c r="D487" s="90"/>
      <c r="E487" s="90"/>
      <c r="F487" s="90"/>
      <c r="G487" s="90"/>
      <c r="H487" s="101"/>
      <c r="I487" s="90"/>
      <c r="J487" s="90"/>
      <c r="K487" s="90"/>
      <c r="L487" s="90"/>
      <c r="M487" s="865"/>
      <c r="N487" s="864"/>
      <c r="O487" s="90"/>
      <c r="P487" s="90"/>
      <c r="Q487" s="90"/>
      <c r="R487" s="90"/>
      <c r="S487" s="90"/>
      <c r="T487" s="90"/>
      <c r="U487" s="90"/>
      <c r="V487" s="90"/>
    </row>
    <row r="488" spans="2:22" ht="18" customHeight="1">
      <c r="B488" s="90"/>
      <c r="C488" s="90"/>
      <c r="D488" s="90"/>
      <c r="E488" s="90"/>
      <c r="F488" s="90"/>
      <c r="G488" s="90"/>
      <c r="H488" s="101"/>
      <c r="I488" s="90"/>
      <c r="J488" s="90"/>
      <c r="K488" s="90"/>
      <c r="L488" s="90"/>
      <c r="M488" s="865"/>
      <c r="N488" s="864"/>
      <c r="O488" s="90"/>
      <c r="P488" s="90"/>
      <c r="Q488" s="90"/>
      <c r="R488" s="90"/>
      <c r="S488" s="90"/>
      <c r="T488" s="90"/>
      <c r="U488" s="90"/>
      <c r="V488" s="90"/>
    </row>
    <row r="489" spans="2:22" ht="18" customHeight="1">
      <c r="B489" s="90"/>
      <c r="C489" s="90"/>
      <c r="D489" s="90"/>
      <c r="E489" s="90"/>
      <c r="F489" s="90"/>
      <c r="G489" s="90"/>
      <c r="H489" s="101"/>
      <c r="I489" s="90"/>
      <c r="J489" s="90"/>
      <c r="K489" s="90"/>
      <c r="L489" s="90"/>
      <c r="M489" s="865"/>
      <c r="N489" s="864"/>
      <c r="O489" s="90"/>
      <c r="P489" s="90"/>
      <c r="Q489" s="90"/>
      <c r="R489" s="90"/>
      <c r="S489" s="90"/>
      <c r="T489" s="90"/>
      <c r="U489" s="90"/>
      <c r="V489" s="90"/>
    </row>
    <row r="490" spans="2:22" ht="18" customHeight="1">
      <c r="B490" s="90"/>
      <c r="C490" s="90"/>
      <c r="D490" s="90"/>
      <c r="E490" s="90"/>
      <c r="F490" s="90"/>
      <c r="G490" s="90"/>
      <c r="H490" s="101"/>
      <c r="I490" s="90"/>
      <c r="J490" s="90"/>
      <c r="K490" s="90"/>
      <c r="L490" s="90"/>
      <c r="M490" s="865"/>
      <c r="N490" s="864"/>
      <c r="O490" s="90"/>
      <c r="P490" s="90"/>
      <c r="Q490" s="90"/>
      <c r="R490" s="90"/>
      <c r="S490" s="90"/>
      <c r="T490" s="90"/>
      <c r="U490" s="90"/>
      <c r="V490" s="90"/>
    </row>
    <row r="491" spans="2:22" ht="18" customHeight="1">
      <c r="B491" s="90"/>
      <c r="C491" s="90"/>
      <c r="D491" s="90"/>
      <c r="E491" s="90"/>
      <c r="F491" s="90"/>
      <c r="G491" s="90"/>
      <c r="H491" s="101"/>
      <c r="I491" s="90"/>
      <c r="J491" s="90"/>
      <c r="K491" s="90"/>
      <c r="L491" s="90"/>
      <c r="M491" s="865"/>
      <c r="N491" s="864"/>
      <c r="O491" s="90"/>
      <c r="P491" s="90"/>
      <c r="Q491" s="90"/>
      <c r="R491" s="90"/>
      <c r="S491" s="90"/>
      <c r="T491" s="90"/>
      <c r="U491" s="90"/>
      <c r="V491" s="90"/>
    </row>
    <row r="492" spans="2:22" ht="18" customHeight="1">
      <c r="B492" s="90"/>
      <c r="C492" s="90"/>
      <c r="D492" s="90"/>
      <c r="E492" s="90"/>
      <c r="F492" s="90"/>
      <c r="G492" s="90"/>
      <c r="H492" s="101"/>
      <c r="I492" s="90"/>
      <c r="J492" s="90"/>
      <c r="K492" s="90"/>
      <c r="L492" s="90"/>
      <c r="M492" s="865"/>
      <c r="N492" s="864"/>
      <c r="O492" s="90"/>
      <c r="P492" s="90"/>
      <c r="Q492" s="90"/>
      <c r="R492" s="90"/>
      <c r="S492" s="90"/>
      <c r="T492" s="90"/>
      <c r="U492" s="90"/>
      <c r="V492" s="90"/>
    </row>
    <row r="493" spans="2:22" ht="18" customHeight="1">
      <c r="B493" s="90"/>
      <c r="C493" s="90"/>
      <c r="D493" s="90"/>
      <c r="E493" s="90"/>
      <c r="F493" s="90"/>
      <c r="G493" s="90"/>
      <c r="H493" s="101"/>
      <c r="I493" s="90"/>
      <c r="J493" s="90"/>
      <c r="K493" s="90"/>
      <c r="L493" s="90"/>
      <c r="M493" s="865"/>
      <c r="N493" s="864"/>
      <c r="O493" s="90"/>
      <c r="P493" s="90"/>
      <c r="Q493" s="90"/>
      <c r="R493" s="90"/>
      <c r="S493" s="90"/>
      <c r="T493" s="90"/>
      <c r="U493" s="90"/>
      <c r="V493" s="90"/>
    </row>
    <row r="494" spans="2:22" ht="18" customHeight="1">
      <c r="B494" s="90"/>
      <c r="C494" s="90"/>
      <c r="D494" s="90"/>
      <c r="E494" s="90"/>
      <c r="F494" s="90"/>
      <c r="G494" s="90"/>
      <c r="H494" s="101"/>
      <c r="I494" s="90"/>
      <c r="J494" s="90"/>
      <c r="K494" s="90"/>
      <c r="L494" s="90"/>
      <c r="M494" s="865"/>
      <c r="N494" s="864"/>
      <c r="O494" s="90"/>
      <c r="P494" s="90"/>
      <c r="Q494" s="90"/>
      <c r="R494" s="90"/>
      <c r="S494" s="90"/>
      <c r="T494" s="90"/>
      <c r="U494" s="90"/>
      <c r="V494" s="90"/>
    </row>
    <row r="495" spans="2:22" ht="18" customHeight="1">
      <c r="B495" s="90"/>
      <c r="C495" s="90"/>
      <c r="D495" s="90"/>
      <c r="E495" s="90"/>
      <c r="F495" s="90"/>
      <c r="G495" s="90"/>
      <c r="H495" s="101"/>
      <c r="I495" s="90"/>
      <c r="J495" s="90"/>
      <c r="K495" s="90"/>
      <c r="L495" s="90"/>
      <c r="M495" s="865"/>
      <c r="N495" s="864"/>
      <c r="O495" s="90"/>
      <c r="P495" s="90"/>
      <c r="Q495" s="90"/>
      <c r="R495" s="90"/>
      <c r="S495" s="90"/>
      <c r="T495" s="90"/>
      <c r="U495" s="90"/>
      <c r="V495" s="90"/>
    </row>
    <row r="496" spans="2:22" ht="18" customHeight="1">
      <c r="B496" s="90"/>
      <c r="C496" s="90"/>
      <c r="D496" s="90"/>
      <c r="E496" s="90"/>
      <c r="F496" s="90"/>
      <c r="G496" s="90"/>
      <c r="H496" s="101"/>
      <c r="I496" s="90"/>
      <c r="J496" s="90"/>
      <c r="K496" s="90"/>
      <c r="L496" s="90"/>
      <c r="M496" s="865"/>
      <c r="N496" s="864"/>
      <c r="O496" s="90"/>
      <c r="P496" s="90"/>
      <c r="Q496" s="90"/>
      <c r="R496" s="90"/>
      <c r="S496" s="90"/>
      <c r="T496" s="90"/>
      <c r="U496" s="90"/>
      <c r="V496" s="90"/>
    </row>
    <row r="497" spans="2:22" ht="18" customHeight="1">
      <c r="B497" s="90"/>
      <c r="C497" s="90"/>
      <c r="D497" s="90"/>
      <c r="E497" s="90"/>
      <c r="F497" s="90"/>
      <c r="G497" s="90"/>
      <c r="H497" s="101"/>
      <c r="I497" s="90"/>
      <c r="J497" s="90"/>
      <c r="K497" s="90"/>
      <c r="L497" s="90"/>
      <c r="M497" s="865"/>
      <c r="N497" s="864"/>
      <c r="O497" s="90"/>
      <c r="P497" s="90"/>
      <c r="Q497" s="90"/>
      <c r="R497" s="90"/>
      <c r="S497" s="90"/>
      <c r="T497" s="90"/>
      <c r="U497" s="90"/>
      <c r="V497" s="90"/>
    </row>
    <row r="498" spans="2:22" ht="18" customHeight="1">
      <c r="B498" s="90"/>
      <c r="C498" s="90"/>
      <c r="D498" s="90"/>
      <c r="E498" s="90"/>
      <c r="F498" s="90"/>
      <c r="G498" s="90"/>
      <c r="H498" s="101"/>
      <c r="I498" s="90"/>
      <c r="J498" s="90"/>
      <c r="K498" s="90"/>
      <c r="L498" s="90"/>
      <c r="M498" s="865"/>
      <c r="N498" s="864"/>
      <c r="O498" s="90"/>
      <c r="P498" s="90"/>
      <c r="Q498" s="90"/>
      <c r="R498" s="90"/>
      <c r="S498" s="90"/>
      <c r="T498" s="90"/>
      <c r="U498" s="90"/>
      <c r="V498" s="90"/>
    </row>
    <row r="499" spans="2:22" ht="18" customHeight="1">
      <c r="B499" s="90"/>
      <c r="C499" s="90"/>
      <c r="D499" s="90"/>
      <c r="E499" s="90"/>
      <c r="F499" s="90"/>
      <c r="G499" s="90"/>
      <c r="H499" s="101"/>
      <c r="I499" s="90"/>
      <c r="J499" s="90"/>
      <c r="K499" s="90"/>
      <c r="L499" s="90"/>
      <c r="M499" s="865"/>
      <c r="N499" s="864"/>
      <c r="O499" s="90"/>
      <c r="P499" s="90"/>
      <c r="Q499" s="90"/>
      <c r="R499" s="90"/>
      <c r="S499" s="90"/>
      <c r="T499" s="90"/>
      <c r="U499" s="90"/>
      <c r="V499" s="90"/>
    </row>
    <row r="500" spans="2:22" ht="18" customHeight="1">
      <c r="B500" s="90"/>
      <c r="C500" s="90"/>
      <c r="D500" s="90"/>
      <c r="E500" s="90"/>
      <c r="F500" s="90"/>
      <c r="G500" s="90"/>
      <c r="H500" s="101"/>
      <c r="I500" s="90"/>
      <c r="J500" s="90"/>
      <c r="K500" s="90"/>
      <c r="L500" s="90"/>
      <c r="M500" s="865"/>
      <c r="N500" s="864"/>
      <c r="O500" s="90"/>
      <c r="P500" s="90"/>
      <c r="Q500" s="90"/>
      <c r="R500" s="90"/>
      <c r="S500" s="90"/>
      <c r="T500" s="90"/>
      <c r="U500" s="90"/>
      <c r="V500" s="90"/>
    </row>
    <row r="501" spans="2:22" ht="18" customHeight="1">
      <c r="B501" s="90"/>
      <c r="C501" s="90"/>
      <c r="D501" s="90"/>
      <c r="E501" s="90"/>
      <c r="F501" s="90"/>
      <c r="G501" s="90"/>
      <c r="H501" s="101"/>
      <c r="I501" s="90"/>
      <c r="J501" s="90"/>
      <c r="K501" s="90"/>
      <c r="L501" s="90"/>
      <c r="M501" s="865"/>
      <c r="N501" s="864"/>
      <c r="O501" s="90"/>
      <c r="P501" s="90"/>
      <c r="Q501" s="90"/>
      <c r="R501" s="90"/>
      <c r="S501" s="90"/>
      <c r="T501" s="90"/>
      <c r="U501" s="90"/>
      <c r="V501" s="90"/>
    </row>
    <row r="502" spans="2:22" ht="18" customHeight="1">
      <c r="B502" s="90"/>
      <c r="C502" s="90"/>
      <c r="D502" s="90"/>
      <c r="E502" s="90"/>
      <c r="F502" s="90"/>
      <c r="G502" s="90"/>
      <c r="H502" s="101"/>
      <c r="I502" s="90"/>
      <c r="J502" s="90"/>
      <c r="K502" s="90"/>
      <c r="L502" s="90"/>
      <c r="M502" s="865"/>
      <c r="N502" s="864"/>
      <c r="O502" s="90"/>
      <c r="P502" s="90"/>
      <c r="Q502" s="90"/>
      <c r="R502" s="90"/>
      <c r="S502" s="90"/>
      <c r="T502" s="90"/>
      <c r="U502" s="90"/>
      <c r="V502" s="90"/>
    </row>
    <row r="503" spans="2:22" ht="18" customHeight="1">
      <c r="B503" s="90"/>
      <c r="C503" s="90"/>
      <c r="D503" s="90"/>
      <c r="E503" s="90"/>
      <c r="F503" s="90"/>
      <c r="G503" s="90"/>
      <c r="H503" s="101"/>
      <c r="I503" s="90"/>
      <c r="J503" s="90"/>
      <c r="K503" s="90"/>
      <c r="L503" s="90"/>
      <c r="M503" s="865"/>
      <c r="N503" s="864"/>
      <c r="O503" s="90"/>
      <c r="P503" s="90"/>
      <c r="Q503" s="90"/>
      <c r="R503" s="90"/>
      <c r="S503" s="90"/>
      <c r="T503" s="90"/>
      <c r="U503" s="90"/>
      <c r="V503" s="90"/>
    </row>
    <row r="504" spans="2:22" ht="18" customHeight="1">
      <c r="B504" s="90"/>
      <c r="C504" s="90"/>
      <c r="D504" s="90"/>
      <c r="E504" s="90"/>
      <c r="F504" s="90"/>
      <c r="G504" s="90"/>
      <c r="H504" s="101"/>
      <c r="I504" s="90"/>
      <c r="J504" s="90"/>
      <c r="K504" s="90"/>
      <c r="L504" s="90"/>
      <c r="M504" s="865"/>
      <c r="N504" s="864"/>
      <c r="O504" s="90"/>
      <c r="P504" s="90"/>
      <c r="Q504" s="90"/>
      <c r="R504" s="90"/>
      <c r="S504" s="90"/>
      <c r="T504" s="90"/>
      <c r="U504" s="90"/>
      <c r="V504" s="90"/>
    </row>
    <row r="505" spans="2:22" ht="18" customHeight="1">
      <c r="B505" s="90"/>
      <c r="C505" s="90"/>
      <c r="D505" s="90"/>
      <c r="E505" s="90"/>
      <c r="F505" s="90"/>
      <c r="G505" s="90"/>
      <c r="H505" s="101"/>
      <c r="I505" s="90"/>
      <c r="J505" s="90"/>
      <c r="K505" s="90"/>
      <c r="L505" s="90"/>
      <c r="M505" s="865"/>
      <c r="N505" s="864"/>
      <c r="O505" s="90"/>
      <c r="P505" s="90"/>
      <c r="Q505" s="90"/>
      <c r="R505" s="90"/>
      <c r="S505" s="90"/>
      <c r="T505" s="90"/>
      <c r="U505" s="90"/>
      <c r="V505" s="90"/>
    </row>
    <row r="506" spans="2:22" ht="18" customHeight="1">
      <c r="B506" s="90"/>
      <c r="C506" s="90"/>
      <c r="D506" s="90"/>
      <c r="E506" s="90"/>
      <c r="F506" s="90"/>
      <c r="G506" s="90"/>
      <c r="H506" s="101"/>
      <c r="I506" s="90"/>
      <c r="J506" s="90"/>
      <c r="K506" s="90"/>
      <c r="L506" s="90"/>
      <c r="M506" s="865"/>
      <c r="N506" s="864"/>
      <c r="O506" s="90"/>
      <c r="P506" s="90"/>
      <c r="Q506" s="90"/>
      <c r="R506" s="90"/>
      <c r="S506" s="90"/>
      <c r="T506" s="90"/>
      <c r="U506" s="90"/>
      <c r="V506" s="90"/>
    </row>
    <row r="507" spans="2:22" ht="18" customHeight="1">
      <c r="B507" s="90"/>
      <c r="C507" s="90"/>
      <c r="D507" s="90"/>
      <c r="E507" s="90"/>
      <c r="F507" s="90"/>
      <c r="G507" s="90"/>
      <c r="H507" s="101"/>
      <c r="I507" s="90"/>
      <c r="J507" s="90"/>
      <c r="K507" s="90"/>
      <c r="L507" s="90"/>
      <c r="M507" s="865"/>
      <c r="N507" s="864"/>
      <c r="O507" s="90"/>
      <c r="P507" s="90"/>
      <c r="Q507" s="90"/>
      <c r="R507" s="90"/>
      <c r="S507" s="90"/>
      <c r="T507" s="90"/>
      <c r="U507" s="90"/>
      <c r="V507" s="90"/>
    </row>
    <row r="508" spans="2:22" ht="18" customHeight="1">
      <c r="B508" s="90"/>
      <c r="C508" s="90"/>
      <c r="D508" s="90"/>
      <c r="E508" s="90"/>
      <c r="F508" s="90"/>
      <c r="G508" s="90"/>
      <c r="H508" s="101"/>
      <c r="I508" s="90"/>
      <c r="J508" s="90"/>
      <c r="K508" s="90"/>
      <c r="L508" s="90"/>
      <c r="M508" s="865"/>
      <c r="N508" s="864"/>
      <c r="O508" s="90"/>
      <c r="P508" s="90"/>
      <c r="Q508" s="90"/>
      <c r="R508" s="90"/>
      <c r="S508" s="90"/>
      <c r="T508" s="90"/>
      <c r="U508" s="90"/>
      <c r="V508" s="90"/>
    </row>
    <row r="509" spans="2:22" ht="18" customHeight="1">
      <c r="B509" s="90"/>
      <c r="C509" s="90"/>
      <c r="D509" s="90"/>
      <c r="E509" s="90"/>
      <c r="F509" s="90"/>
      <c r="G509" s="90"/>
      <c r="H509" s="101"/>
      <c r="I509" s="90"/>
      <c r="J509" s="90"/>
      <c r="K509" s="90"/>
      <c r="L509" s="90"/>
      <c r="M509" s="865"/>
      <c r="N509" s="864"/>
      <c r="O509" s="90"/>
      <c r="P509" s="90"/>
      <c r="Q509" s="90"/>
      <c r="R509" s="90"/>
      <c r="S509" s="90"/>
      <c r="T509" s="90"/>
      <c r="U509" s="90"/>
      <c r="V509" s="90"/>
    </row>
    <row r="510" spans="2:22" ht="18" customHeight="1">
      <c r="B510" s="90"/>
      <c r="C510" s="90"/>
      <c r="D510" s="90"/>
      <c r="E510" s="90"/>
      <c r="F510" s="90"/>
      <c r="G510" s="90"/>
      <c r="H510" s="101"/>
      <c r="I510" s="90"/>
      <c r="J510" s="90"/>
      <c r="K510" s="90"/>
      <c r="L510" s="90"/>
      <c r="M510" s="865"/>
      <c r="N510" s="864"/>
      <c r="O510" s="90"/>
      <c r="P510" s="90"/>
      <c r="Q510" s="90"/>
      <c r="R510" s="90"/>
      <c r="S510" s="90"/>
      <c r="T510" s="90"/>
      <c r="U510" s="90"/>
      <c r="V510" s="90"/>
    </row>
    <row r="511" spans="2:22" ht="18" customHeight="1">
      <c r="B511" s="90"/>
      <c r="C511" s="90"/>
      <c r="D511" s="90"/>
      <c r="E511" s="90"/>
      <c r="F511" s="90"/>
      <c r="G511" s="90"/>
      <c r="H511" s="101"/>
      <c r="I511" s="90"/>
      <c r="J511" s="90"/>
      <c r="K511" s="90"/>
      <c r="L511" s="90"/>
      <c r="M511" s="865"/>
      <c r="N511" s="864"/>
      <c r="O511" s="90"/>
      <c r="P511" s="90"/>
      <c r="Q511" s="90"/>
      <c r="R511" s="90"/>
      <c r="S511" s="90"/>
      <c r="T511" s="90"/>
      <c r="U511" s="90"/>
      <c r="V511" s="90"/>
    </row>
    <row r="512" spans="2:22" ht="18" customHeight="1">
      <c r="B512" s="90"/>
      <c r="C512" s="90"/>
      <c r="D512" s="90"/>
      <c r="E512" s="90"/>
      <c r="F512" s="90"/>
      <c r="G512" s="90"/>
      <c r="H512" s="101"/>
      <c r="I512" s="90"/>
      <c r="J512" s="90"/>
      <c r="K512" s="90"/>
      <c r="L512" s="90"/>
      <c r="M512" s="865"/>
      <c r="N512" s="864"/>
      <c r="O512" s="90"/>
      <c r="P512" s="90"/>
      <c r="Q512" s="90"/>
      <c r="R512" s="90"/>
      <c r="S512" s="90"/>
      <c r="T512" s="90"/>
      <c r="U512" s="90"/>
      <c r="V512" s="90"/>
    </row>
    <row r="513" spans="2:22" ht="18" customHeight="1">
      <c r="B513" s="90"/>
      <c r="C513" s="90"/>
      <c r="D513" s="90"/>
      <c r="E513" s="90"/>
      <c r="F513" s="90"/>
      <c r="G513" s="90"/>
      <c r="H513" s="101"/>
      <c r="I513" s="90"/>
      <c r="J513" s="90"/>
      <c r="K513" s="90"/>
      <c r="L513" s="90"/>
      <c r="M513" s="865"/>
      <c r="N513" s="864"/>
      <c r="O513" s="90"/>
      <c r="P513" s="90"/>
      <c r="Q513" s="90"/>
      <c r="R513" s="90"/>
      <c r="S513" s="90"/>
      <c r="T513" s="90"/>
      <c r="U513" s="90"/>
      <c r="V513" s="90"/>
    </row>
    <row r="514" spans="2:22" ht="18" customHeight="1">
      <c r="B514" s="90"/>
      <c r="C514" s="90"/>
      <c r="D514" s="90"/>
      <c r="E514" s="90"/>
      <c r="F514" s="90"/>
      <c r="G514" s="90"/>
      <c r="H514" s="101"/>
      <c r="I514" s="90"/>
      <c r="J514" s="90"/>
      <c r="K514" s="90"/>
      <c r="L514" s="90"/>
      <c r="M514" s="865"/>
      <c r="N514" s="864"/>
      <c r="O514" s="90"/>
      <c r="P514" s="90"/>
      <c r="Q514" s="90"/>
      <c r="R514" s="90"/>
      <c r="S514" s="90"/>
      <c r="T514" s="90"/>
      <c r="U514" s="90"/>
      <c r="V514" s="90"/>
    </row>
    <row r="515" spans="2:22" ht="18" customHeight="1">
      <c r="B515" s="90"/>
      <c r="C515" s="90"/>
      <c r="D515" s="90"/>
      <c r="E515" s="90"/>
      <c r="F515" s="90"/>
      <c r="G515" s="90"/>
      <c r="H515" s="101"/>
      <c r="I515" s="90"/>
      <c r="J515" s="90"/>
      <c r="K515" s="90"/>
      <c r="L515" s="90"/>
      <c r="M515" s="865"/>
      <c r="N515" s="864"/>
      <c r="O515" s="90"/>
      <c r="P515" s="90"/>
      <c r="Q515" s="90"/>
      <c r="R515" s="90"/>
      <c r="S515" s="90"/>
      <c r="T515" s="90"/>
      <c r="U515" s="90"/>
      <c r="V515" s="90"/>
    </row>
    <row r="516" spans="2:22" ht="18" customHeight="1">
      <c r="B516" s="90"/>
      <c r="C516" s="90"/>
      <c r="D516" s="90"/>
      <c r="E516" s="90"/>
      <c r="F516" s="90"/>
      <c r="G516" s="90"/>
      <c r="H516" s="101"/>
      <c r="I516" s="90"/>
      <c r="J516" s="90"/>
      <c r="K516" s="90"/>
      <c r="L516" s="90"/>
      <c r="M516" s="865"/>
      <c r="N516" s="864"/>
      <c r="O516" s="90"/>
      <c r="P516" s="90"/>
      <c r="Q516" s="90"/>
      <c r="R516" s="90"/>
      <c r="S516" s="90"/>
      <c r="T516" s="90"/>
      <c r="U516" s="90"/>
      <c r="V516" s="90"/>
    </row>
    <row r="517" spans="2:22" ht="18" customHeight="1">
      <c r="B517" s="90"/>
      <c r="C517" s="90"/>
      <c r="D517" s="90"/>
      <c r="E517" s="90"/>
      <c r="F517" s="90"/>
      <c r="G517" s="90"/>
      <c r="H517" s="101"/>
      <c r="I517" s="90"/>
      <c r="J517" s="90"/>
      <c r="K517" s="90"/>
      <c r="L517" s="90"/>
      <c r="M517" s="865"/>
      <c r="N517" s="864"/>
      <c r="O517" s="90"/>
      <c r="P517" s="90"/>
      <c r="Q517" s="90"/>
      <c r="R517" s="90"/>
      <c r="S517" s="90"/>
      <c r="T517" s="90"/>
      <c r="U517" s="90"/>
      <c r="V517" s="90"/>
    </row>
    <row r="518" spans="2:22" ht="18" customHeight="1">
      <c r="B518" s="90"/>
      <c r="C518" s="90"/>
      <c r="D518" s="90"/>
      <c r="E518" s="90"/>
      <c r="F518" s="90"/>
      <c r="G518" s="90"/>
      <c r="H518" s="101"/>
      <c r="I518" s="90"/>
      <c r="J518" s="90"/>
      <c r="K518" s="90"/>
      <c r="L518" s="90"/>
      <c r="M518" s="865"/>
      <c r="N518" s="864"/>
      <c r="O518" s="90"/>
      <c r="P518" s="90"/>
      <c r="Q518" s="90"/>
      <c r="R518" s="90"/>
      <c r="S518" s="90"/>
      <c r="T518" s="90"/>
      <c r="U518" s="90"/>
      <c r="V518" s="90"/>
    </row>
    <row r="519" spans="2:22" ht="18" customHeight="1">
      <c r="B519" s="90"/>
      <c r="C519" s="90"/>
      <c r="D519" s="90"/>
      <c r="E519" s="90"/>
      <c r="F519" s="90"/>
      <c r="G519" s="90"/>
      <c r="H519" s="101"/>
      <c r="I519" s="90"/>
      <c r="J519" s="90"/>
      <c r="K519" s="90"/>
      <c r="L519" s="90"/>
      <c r="M519" s="865"/>
      <c r="N519" s="864"/>
      <c r="O519" s="90"/>
      <c r="P519" s="90"/>
      <c r="Q519" s="90"/>
      <c r="R519" s="90"/>
      <c r="S519" s="90"/>
      <c r="T519" s="90"/>
      <c r="U519" s="90"/>
      <c r="V519" s="90"/>
    </row>
    <row r="520" spans="2:22" ht="18" customHeight="1">
      <c r="B520" s="90"/>
      <c r="C520" s="90"/>
      <c r="D520" s="90"/>
      <c r="E520" s="90"/>
      <c r="F520" s="90"/>
      <c r="G520" s="90"/>
      <c r="H520" s="101"/>
      <c r="I520" s="90"/>
      <c r="J520" s="90"/>
      <c r="K520" s="90"/>
      <c r="L520" s="90"/>
      <c r="M520" s="865"/>
      <c r="N520" s="864"/>
      <c r="O520" s="90"/>
      <c r="P520" s="90"/>
      <c r="Q520" s="90"/>
      <c r="R520" s="90"/>
      <c r="S520" s="90"/>
      <c r="T520" s="90"/>
      <c r="U520" s="90"/>
      <c r="V520" s="90"/>
    </row>
    <row r="521" spans="2:22" ht="18" customHeight="1">
      <c r="B521" s="90"/>
      <c r="C521" s="90"/>
      <c r="D521" s="90"/>
      <c r="E521" s="90"/>
      <c r="F521" s="90"/>
      <c r="G521" s="90"/>
      <c r="H521" s="101"/>
      <c r="I521" s="90"/>
      <c r="J521" s="90"/>
      <c r="K521" s="90"/>
      <c r="L521" s="90"/>
      <c r="M521" s="865"/>
      <c r="N521" s="864"/>
      <c r="O521" s="90"/>
      <c r="P521" s="90"/>
      <c r="Q521" s="90"/>
      <c r="R521" s="90"/>
      <c r="S521" s="90"/>
      <c r="T521" s="90"/>
      <c r="U521" s="90"/>
      <c r="V521" s="90"/>
    </row>
    <row r="522" spans="2:22" ht="18" customHeight="1">
      <c r="B522" s="90"/>
      <c r="C522" s="90"/>
      <c r="D522" s="90"/>
      <c r="E522" s="90"/>
      <c r="F522" s="90"/>
      <c r="G522" s="90"/>
      <c r="H522" s="101"/>
      <c r="I522" s="90"/>
      <c r="J522" s="90"/>
      <c r="K522" s="90"/>
      <c r="L522" s="90"/>
      <c r="M522" s="865"/>
      <c r="N522" s="864"/>
      <c r="O522" s="90"/>
      <c r="P522" s="90"/>
      <c r="Q522" s="90"/>
      <c r="R522" s="90"/>
      <c r="S522" s="90"/>
      <c r="T522" s="90"/>
      <c r="U522" s="90"/>
      <c r="V522" s="90"/>
    </row>
    <row r="523" spans="2:22" ht="18" customHeight="1">
      <c r="B523" s="90"/>
      <c r="C523" s="90"/>
      <c r="D523" s="90"/>
      <c r="E523" s="90"/>
      <c r="F523" s="90"/>
      <c r="G523" s="90"/>
      <c r="H523" s="101"/>
      <c r="I523" s="90"/>
      <c r="J523" s="90"/>
      <c r="K523" s="90"/>
      <c r="L523" s="90"/>
      <c r="M523" s="865"/>
      <c r="N523" s="864"/>
      <c r="O523" s="90"/>
      <c r="P523" s="90"/>
      <c r="Q523" s="90"/>
      <c r="R523" s="90"/>
      <c r="S523" s="90"/>
      <c r="T523" s="90"/>
      <c r="U523" s="90"/>
      <c r="V523" s="90"/>
    </row>
    <row r="524" spans="2:22" ht="18" customHeight="1">
      <c r="B524" s="90"/>
      <c r="C524" s="90"/>
      <c r="D524" s="90"/>
      <c r="E524" s="90"/>
      <c r="F524" s="90"/>
      <c r="G524" s="90"/>
      <c r="H524" s="101"/>
      <c r="I524" s="90"/>
      <c r="J524" s="90"/>
      <c r="K524" s="90"/>
      <c r="L524" s="90"/>
      <c r="M524" s="865"/>
      <c r="N524" s="864"/>
      <c r="O524" s="90"/>
      <c r="P524" s="90"/>
      <c r="Q524" s="90"/>
      <c r="R524" s="90"/>
      <c r="S524" s="90"/>
      <c r="T524" s="90"/>
      <c r="U524" s="90"/>
      <c r="V524" s="90"/>
    </row>
    <row r="525" spans="2:22" ht="18" customHeight="1">
      <c r="B525" s="90"/>
      <c r="C525" s="90"/>
      <c r="D525" s="90"/>
      <c r="E525" s="90"/>
      <c r="F525" s="90"/>
      <c r="G525" s="90"/>
      <c r="H525" s="101"/>
      <c r="I525" s="90"/>
      <c r="J525" s="90"/>
      <c r="K525" s="90"/>
      <c r="L525" s="90"/>
      <c r="M525" s="865"/>
      <c r="N525" s="864"/>
      <c r="O525" s="90"/>
      <c r="P525" s="90"/>
      <c r="Q525" s="90"/>
      <c r="R525" s="90"/>
      <c r="S525" s="90"/>
      <c r="T525" s="90"/>
      <c r="U525" s="90"/>
      <c r="V525" s="90"/>
    </row>
    <row r="526" spans="2:22" ht="18" customHeight="1">
      <c r="B526" s="90"/>
      <c r="C526" s="90"/>
      <c r="D526" s="90"/>
      <c r="E526" s="90"/>
      <c r="F526" s="90"/>
      <c r="G526" s="90"/>
      <c r="H526" s="101"/>
      <c r="I526" s="90"/>
      <c r="J526" s="90"/>
      <c r="K526" s="90"/>
      <c r="L526" s="90"/>
      <c r="M526" s="865"/>
      <c r="N526" s="864"/>
      <c r="O526" s="90"/>
      <c r="P526" s="90"/>
      <c r="Q526" s="90"/>
      <c r="R526" s="90"/>
      <c r="S526" s="90"/>
      <c r="T526" s="90"/>
      <c r="U526" s="90"/>
      <c r="V526" s="90"/>
    </row>
    <row r="527" spans="2:22" ht="18" customHeight="1">
      <c r="B527" s="90"/>
      <c r="C527" s="90"/>
      <c r="D527" s="90"/>
      <c r="E527" s="90"/>
      <c r="F527" s="90"/>
      <c r="G527" s="90"/>
      <c r="H527" s="101"/>
      <c r="I527" s="90"/>
      <c r="J527" s="90"/>
      <c r="K527" s="90"/>
      <c r="L527" s="90"/>
      <c r="M527" s="865"/>
      <c r="N527" s="864"/>
      <c r="O527" s="90"/>
      <c r="P527" s="90"/>
      <c r="Q527" s="90"/>
      <c r="R527" s="90"/>
      <c r="S527" s="90"/>
      <c r="T527" s="90"/>
      <c r="U527" s="90"/>
      <c r="V527" s="90"/>
    </row>
    <row r="528" spans="2:22" ht="18" customHeight="1">
      <c r="B528" s="90"/>
      <c r="C528" s="90"/>
      <c r="D528" s="90"/>
      <c r="E528" s="90"/>
      <c r="F528" s="90"/>
      <c r="G528" s="90"/>
      <c r="H528" s="101"/>
      <c r="I528" s="90"/>
      <c r="J528" s="90"/>
      <c r="K528" s="90"/>
      <c r="L528" s="90"/>
      <c r="M528" s="865"/>
      <c r="N528" s="864"/>
      <c r="O528" s="90"/>
      <c r="P528" s="90"/>
      <c r="Q528" s="90"/>
      <c r="R528" s="90"/>
      <c r="S528" s="90"/>
      <c r="T528" s="90"/>
      <c r="U528" s="90"/>
      <c r="V528" s="90"/>
    </row>
    <row r="529" spans="2:22" ht="18" customHeight="1">
      <c r="B529" s="90"/>
      <c r="C529" s="90"/>
      <c r="D529" s="90"/>
      <c r="E529" s="90"/>
      <c r="F529" s="90"/>
      <c r="G529" s="90"/>
      <c r="H529" s="101"/>
      <c r="I529" s="90"/>
      <c r="J529" s="90"/>
      <c r="K529" s="90"/>
      <c r="L529" s="90"/>
      <c r="M529" s="865"/>
      <c r="N529" s="864"/>
      <c r="O529" s="90"/>
      <c r="P529" s="90"/>
      <c r="Q529" s="90"/>
      <c r="R529" s="90"/>
      <c r="S529" s="90"/>
      <c r="T529" s="90"/>
      <c r="U529" s="90"/>
      <c r="V529" s="90"/>
    </row>
    <row r="530" spans="2:22" ht="18" customHeight="1">
      <c r="B530" s="90"/>
      <c r="C530" s="90"/>
      <c r="D530" s="90"/>
      <c r="E530" s="90"/>
      <c r="F530" s="90"/>
      <c r="G530" s="90"/>
      <c r="H530" s="101"/>
      <c r="I530" s="90"/>
      <c r="J530" s="90"/>
      <c r="K530" s="90"/>
      <c r="L530" s="90"/>
      <c r="M530" s="865"/>
      <c r="N530" s="864"/>
      <c r="O530" s="90"/>
      <c r="P530" s="90"/>
      <c r="Q530" s="90"/>
      <c r="R530" s="90"/>
      <c r="S530" s="90"/>
      <c r="T530" s="90"/>
      <c r="U530" s="90"/>
      <c r="V530" s="90"/>
    </row>
    <row r="531" spans="2:22" ht="18" customHeight="1">
      <c r="B531" s="90"/>
      <c r="C531" s="90"/>
      <c r="D531" s="90"/>
      <c r="E531" s="90"/>
      <c r="F531" s="90"/>
      <c r="G531" s="90"/>
      <c r="H531" s="101"/>
      <c r="I531" s="90"/>
      <c r="J531" s="90"/>
      <c r="K531" s="90"/>
      <c r="L531" s="90"/>
      <c r="M531" s="865"/>
      <c r="N531" s="864"/>
      <c r="O531" s="90"/>
      <c r="P531" s="90"/>
      <c r="Q531" s="90"/>
      <c r="R531" s="90"/>
      <c r="S531" s="90"/>
      <c r="T531" s="90"/>
      <c r="U531" s="90"/>
      <c r="V531" s="90"/>
    </row>
    <row r="532" spans="2:22" ht="18" customHeight="1">
      <c r="B532" s="90"/>
      <c r="C532" s="90"/>
      <c r="D532" s="90"/>
      <c r="E532" s="90"/>
      <c r="F532" s="90"/>
      <c r="G532" s="90"/>
      <c r="H532" s="101"/>
      <c r="I532" s="90"/>
      <c r="J532" s="90"/>
      <c r="K532" s="90"/>
      <c r="L532" s="90"/>
      <c r="M532" s="865"/>
      <c r="N532" s="864"/>
      <c r="O532" s="90"/>
      <c r="P532" s="90"/>
      <c r="Q532" s="90"/>
      <c r="R532" s="90"/>
      <c r="S532" s="90"/>
      <c r="T532" s="90"/>
      <c r="U532" s="90"/>
      <c r="V532" s="90"/>
    </row>
    <row r="533" spans="2:22" ht="18" customHeight="1">
      <c r="B533" s="90"/>
      <c r="C533" s="90"/>
      <c r="D533" s="90"/>
      <c r="E533" s="90"/>
      <c r="F533" s="90"/>
      <c r="G533" s="90"/>
      <c r="H533" s="101"/>
      <c r="I533" s="90"/>
      <c r="J533" s="90"/>
      <c r="K533" s="90"/>
      <c r="L533" s="90"/>
      <c r="M533" s="865"/>
      <c r="N533" s="864"/>
      <c r="O533" s="90"/>
      <c r="P533" s="90"/>
      <c r="Q533" s="90"/>
      <c r="R533" s="90"/>
      <c r="S533" s="90"/>
      <c r="T533" s="90"/>
      <c r="U533" s="90"/>
      <c r="V533" s="90"/>
    </row>
    <row r="534" spans="2:22" ht="18" customHeight="1">
      <c r="B534" s="90"/>
      <c r="C534" s="90"/>
      <c r="D534" s="90"/>
      <c r="E534" s="90"/>
      <c r="F534" s="90"/>
      <c r="G534" s="90"/>
      <c r="H534" s="101"/>
      <c r="I534" s="90"/>
      <c r="J534" s="90"/>
      <c r="K534" s="90"/>
      <c r="L534" s="90"/>
      <c r="M534" s="865"/>
      <c r="N534" s="864"/>
      <c r="O534" s="90"/>
      <c r="P534" s="90"/>
      <c r="Q534" s="90"/>
      <c r="R534" s="90"/>
      <c r="S534" s="90"/>
      <c r="T534" s="90"/>
      <c r="U534" s="90"/>
      <c r="V534" s="90"/>
    </row>
    <row r="535" spans="2:22" ht="18" customHeight="1">
      <c r="B535" s="90"/>
      <c r="C535" s="90"/>
      <c r="D535" s="90"/>
      <c r="E535" s="90"/>
      <c r="F535" s="90"/>
      <c r="G535" s="90"/>
      <c r="H535" s="101"/>
      <c r="I535" s="90"/>
      <c r="J535" s="90"/>
      <c r="K535" s="90"/>
      <c r="L535" s="90"/>
      <c r="M535" s="865"/>
      <c r="N535" s="864"/>
      <c r="O535" s="90"/>
      <c r="P535" s="90"/>
      <c r="Q535" s="90"/>
      <c r="R535" s="90"/>
      <c r="S535" s="90"/>
      <c r="T535" s="90"/>
      <c r="U535" s="90"/>
      <c r="V535" s="90"/>
    </row>
    <row r="536" spans="2:22" ht="18" customHeight="1">
      <c r="B536" s="90"/>
      <c r="C536" s="90"/>
      <c r="D536" s="90"/>
      <c r="E536" s="90"/>
      <c r="F536" s="90"/>
      <c r="G536" s="90"/>
      <c r="H536" s="101"/>
      <c r="I536" s="90"/>
      <c r="J536" s="90"/>
      <c r="K536" s="90"/>
      <c r="L536" s="90"/>
      <c r="M536" s="865"/>
      <c r="N536" s="864"/>
      <c r="O536" s="90"/>
      <c r="P536" s="90"/>
      <c r="Q536" s="90"/>
      <c r="R536" s="90"/>
      <c r="S536" s="90"/>
      <c r="T536" s="90"/>
      <c r="U536" s="90"/>
      <c r="V536" s="90"/>
    </row>
    <row r="537" spans="2:22" ht="18" customHeight="1">
      <c r="B537" s="90"/>
      <c r="C537" s="90"/>
      <c r="D537" s="90"/>
      <c r="E537" s="90"/>
      <c r="F537" s="90"/>
      <c r="G537" s="90"/>
      <c r="H537" s="101"/>
      <c r="I537" s="90"/>
      <c r="J537" s="90"/>
      <c r="K537" s="90"/>
      <c r="L537" s="90"/>
      <c r="M537" s="865"/>
      <c r="N537" s="864"/>
      <c r="O537" s="90"/>
      <c r="P537" s="90"/>
      <c r="Q537" s="90"/>
      <c r="R537" s="90"/>
      <c r="S537" s="90"/>
      <c r="T537" s="90"/>
      <c r="U537" s="90"/>
      <c r="V537" s="90"/>
    </row>
    <row r="538" spans="2:22" ht="18" customHeight="1">
      <c r="B538" s="90"/>
      <c r="C538" s="90"/>
      <c r="D538" s="90"/>
      <c r="E538" s="90"/>
      <c r="F538" s="90"/>
      <c r="G538" s="90"/>
      <c r="H538" s="101"/>
      <c r="I538" s="90"/>
      <c r="J538" s="90"/>
      <c r="K538" s="90"/>
      <c r="L538" s="90"/>
      <c r="M538" s="865"/>
      <c r="N538" s="864"/>
      <c r="O538" s="90"/>
      <c r="P538" s="90"/>
      <c r="Q538" s="90"/>
      <c r="R538" s="90"/>
      <c r="S538" s="90"/>
      <c r="T538" s="90"/>
      <c r="U538" s="90"/>
      <c r="V538" s="90"/>
    </row>
    <row r="539" spans="2:22" ht="18" customHeight="1">
      <c r="B539" s="90"/>
      <c r="C539" s="90"/>
      <c r="D539" s="90"/>
      <c r="E539" s="90"/>
      <c r="F539" s="90"/>
      <c r="G539" s="90"/>
      <c r="H539" s="101"/>
      <c r="I539" s="90"/>
      <c r="J539" s="90"/>
      <c r="K539" s="90"/>
      <c r="L539" s="90"/>
      <c r="M539" s="111"/>
      <c r="N539" s="111"/>
    </row>
    <row r="540" spans="2:22" ht="18" customHeight="1">
      <c r="B540" s="90"/>
      <c r="C540" s="90"/>
      <c r="D540" s="90"/>
      <c r="E540" s="90"/>
      <c r="F540" s="90"/>
      <c r="G540" s="90"/>
      <c r="H540" s="101"/>
      <c r="I540" s="90"/>
      <c r="J540" s="90"/>
      <c r="K540" s="90"/>
      <c r="L540" s="90"/>
      <c r="M540" s="111"/>
      <c r="N540" s="111"/>
    </row>
    <row r="541" spans="2:22" ht="18" customHeight="1">
      <c r="B541" s="90"/>
      <c r="C541" s="90"/>
      <c r="D541" s="90"/>
      <c r="E541" s="90"/>
      <c r="F541" s="90"/>
      <c r="G541" s="90"/>
      <c r="H541" s="101"/>
      <c r="I541" s="90"/>
      <c r="J541" s="90"/>
      <c r="K541" s="90"/>
      <c r="L541" s="90"/>
      <c r="M541" s="111"/>
      <c r="N541" s="111"/>
    </row>
    <row r="542" spans="2:22" ht="18" customHeight="1">
      <c r="B542" s="90"/>
      <c r="C542" s="90"/>
      <c r="D542" s="90"/>
      <c r="E542" s="90"/>
      <c r="F542" s="90"/>
      <c r="G542" s="90"/>
      <c r="H542" s="101"/>
      <c r="I542" s="90"/>
      <c r="J542" s="90"/>
      <c r="K542" s="90"/>
      <c r="L542" s="90"/>
      <c r="M542" s="111"/>
      <c r="N542" s="111"/>
    </row>
    <row r="543" spans="2:22" ht="18" customHeight="1">
      <c r="B543" s="90"/>
      <c r="C543" s="90"/>
      <c r="D543" s="90"/>
      <c r="E543" s="90"/>
      <c r="F543" s="90"/>
      <c r="G543" s="90"/>
      <c r="H543" s="101"/>
      <c r="I543" s="90"/>
      <c r="J543" s="90"/>
      <c r="K543" s="90"/>
      <c r="L543" s="90"/>
      <c r="M543" s="111"/>
      <c r="N543" s="111"/>
    </row>
    <row r="544" spans="2:22" ht="18" customHeight="1">
      <c r="B544" s="90"/>
      <c r="C544" s="90"/>
      <c r="D544" s="90"/>
      <c r="E544" s="90"/>
      <c r="F544" s="90"/>
      <c r="G544" s="90"/>
      <c r="H544" s="101"/>
      <c r="I544" s="90"/>
      <c r="J544" s="90"/>
      <c r="K544" s="90"/>
      <c r="L544" s="90"/>
      <c r="M544" s="111"/>
      <c r="N544" s="111"/>
    </row>
    <row r="545" spans="2:14" ht="18" customHeight="1">
      <c r="B545" s="90"/>
      <c r="C545" s="90"/>
      <c r="D545" s="90"/>
      <c r="E545" s="90"/>
      <c r="F545" s="90"/>
      <c r="G545" s="90"/>
      <c r="H545" s="101"/>
      <c r="I545" s="90"/>
      <c r="J545" s="90"/>
      <c r="K545" s="90"/>
      <c r="L545" s="90"/>
      <c r="M545" s="111"/>
      <c r="N545" s="111"/>
    </row>
    <row r="546" spans="2:14" ht="18" customHeight="1">
      <c r="B546" s="90"/>
      <c r="C546" s="90"/>
      <c r="D546" s="90"/>
      <c r="E546" s="90"/>
      <c r="F546" s="90"/>
      <c r="G546" s="90"/>
      <c r="H546" s="101"/>
      <c r="I546" s="90"/>
      <c r="J546" s="90"/>
      <c r="K546" s="90"/>
      <c r="L546" s="90"/>
      <c r="M546" s="111"/>
      <c r="N546" s="111"/>
    </row>
    <row r="547" spans="2:14" ht="18" customHeight="1">
      <c r="B547" s="90"/>
      <c r="C547" s="90"/>
      <c r="D547" s="90"/>
      <c r="E547" s="90"/>
      <c r="F547" s="90"/>
      <c r="G547" s="90"/>
      <c r="H547" s="101"/>
      <c r="I547" s="90"/>
      <c r="J547" s="90"/>
      <c r="K547" s="90"/>
      <c r="L547" s="90"/>
      <c r="M547" s="111"/>
      <c r="N547" s="111"/>
    </row>
    <row r="548" spans="2:14" ht="18" customHeight="1">
      <c r="B548" s="90"/>
      <c r="C548" s="90"/>
      <c r="D548" s="90"/>
      <c r="E548" s="90"/>
      <c r="F548" s="90"/>
      <c r="G548" s="90"/>
      <c r="H548" s="101"/>
      <c r="I548" s="90"/>
      <c r="J548" s="90"/>
      <c r="K548" s="90"/>
      <c r="L548" s="90"/>
      <c r="M548" s="111"/>
      <c r="N548" s="111"/>
    </row>
    <row r="549" spans="2:14" ht="18" customHeight="1">
      <c r="B549" s="90"/>
      <c r="C549" s="90"/>
      <c r="D549" s="90"/>
      <c r="E549" s="90"/>
      <c r="F549" s="90"/>
      <c r="G549" s="90"/>
      <c r="H549" s="101"/>
      <c r="I549" s="90"/>
      <c r="J549" s="90"/>
      <c r="K549" s="90"/>
      <c r="L549" s="90"/>
      <c r="M549" s="111"/>
      <c r="N549" s="111"/>
    </row>
    <row r="550" spans="2:14" ht="18" customHeight="1">
      <c r="B550" s="90"/>
      <c r="C550" s="90"/>
      <c r="D550" s="90"/>
      <c r="E550" s="90"/>
      <c r="F550" s="90"/>
      <c r="G550" s="90"/>
      <c r="H550" s="101"/>
      <c r="I550" s="90"/>
      <c r="J550" s="90"/>
      <c r="K550" s="90"/>
      <c r="L550" s="90"/>
      <c r="M550" s="111"/>
      <c r="N550" s="111"/>
    </row>
    <row r="551" spans="2:14" ht="18" customHeight="1">
      <c r="B551" s="90"/>
      <c r="C551" s="90"/>
      <c r="D551" s="90"/>
      <c r="E551" s="90"/>
      <c r="F551" s="90"/>
      <c r="G551" s="90"/>
      <c r="H551" s="101"/>
      <c r="I551" s="90"/>
      <c r="J551" s="90"/>
      <c r="K551" s="90"/>
      <c r="L551" s="90"/>
      <c r="M551" s="111"/>
      <c r="N551" s="111"/>
    </row>
    <row r="552" spans="2:14" ht="18" customHeight="1">
      <c r="B552" s="90"/>
      <c r="C552" s="90"/>
      <c r="D552" s="90"/>
      <c r="E552" s="90"/>
      <c r="F552" s="90"/>
      <c r="G552" s="90"/>
      <c r="H552" s="101"/>
      <c r="I552" s="90"/>
      <c r="J552" s="90"/>
      <c r="K552" s="90"/>
      <c r="L552" s="90"/>
      <c r="M552" s="111"/>
      <c r="N552" s="111"/>
    </row>
    <row r="553" spans="2:14" ht="18" customHeight="1">
      <c r="B553" s="90"/>
      <c r="C553" s="90"/>
      <c r="D553" s="90"/>
      <c r="E553" s="90"/>
      <c r="F553" s="90"/>
      <c r="G553" s="90"/>
      <c r="H553" s="101"/>
      <c r="I553" s="90"/>
      <c r="J553" s="90"/>
      <c r="K553" s="90"/>
      <c r="L553" s="90"/>
      <c r="M553" s="111"/>
      <c r="N553" s="111"/>
    </row>
    <row r="554" spans="2:14" ht="18" customHeight="1">
      <c r="B554" s="90"/>
      <c r="C554" s="90"/>
      <c r="D554" s="90"/>
      <c r="E554" s="90"/>
      <c r="F554" s="90"/>
      <c r="G554" s="90"/>
      <c r="H554" s="101"/>
      <c r="I554" s="90"/>
      <c r="J554" s="90"/>
      <c r="K554" s="90"/>
      <c r="L554" s="90"/>
      <c r="M554" s="111"/>
      <c r="N554" s="111"/>
    </row>
    <row r="555" spans="2:14" ht="18" customHeight="1">
      <c r="B555" s="90"/>
      <c r="C555" s="90"/>
      <c r="D555" s="90"/>
      <c r="E555" s="90"/>
      <c r="F555" s="90"/>
      <c r="G555" s="90"/>
      <c r="H555" s="101"/>
      <c r="I555" s="90"/>
      <c r="J555" s="90"/>
      <c r="K555" s="90"/>
      <c r="L555" s="90"/>
      <c r="M555" s="111"/>
      <c r="N555" s="111"/>
    </row>
    <row r="556" spans="2:14" ht="18" customHeight="1">
      <c r="B556" s="90"/>
      <c r="C556" s="90"/>
      <c r="D556" s="90"/>
      <c r="E556" s="90"/>
      <c r="F556" s="90"/>
      <c r="G556" s="90"/>
      <c r="H556" s="101"/>
      <c r="I556" s="90"/>
      <c r="J556" s="90"/>
      <c r="K556" s="90"/>
      <c r="L556" s="90"/>
      <c r="M556" s="111"/>
      <c r="N556" s="111"/>
    </row>
    <row r="557" spans="2:14" ht="18" customHeight="1">
      <c r="B557" s="90"/>
      <c r="C557" s="90"/>
      <c r="D557" s="90"/>
      <c r="E557" s="90"/>
      <c r="F557" s="90"/>
      <c r="G557" s="90"/>
      <c r="H557" s="101"/>
      <c r="I557" s="90"/>
      <c r="J557" s="90"/>
      <c r="K557" s="90"/>
      <c r="L557" s="90"/>
      <c r="M557" s="111"/>
      <c r="N557" s="111"/>
    </row>
    <row r="558" spans="2:14" ht="18" customHeight="1">
      <c r="B558" s="90"/>
      <c r="C558" s="90"/>
      <c r="D558" s="90"/>
      <c r="E558" s="90"/>
      <c r="F558" s="90"/>
      <c r="G558" s="90"/>
      <c r="H558" s="101"/>
      <c r="I558" s="90"/>
      <c r="J558" s="90"/>
      <c r="K558" s="90"/>
      <c r="L558" s="90"/>
      <c r="M558" s="111"/>
      <c r="N558" s="111"/>
    </row>
    <row r="559" spans="2:14" ht="18" customHeight="1">
      <c r="B559" s="90"/>
      <c r="C559" s="90"/>
      <c r="D559" s="90"/>
      <c r="E559" s="90"/>
      <c r="F559" s="90"/>
      <c r="G559" s="90"/>
      <c r="H559" s="101"/>
      <c r="I559" s="90"/>
      <c r="J559" s="90"/>
      <c r="K559" s="90"/>
      <c r="L559" s="90"/>
      <c r="M559" s="111"/>
      <c r="N559" s="111"/>
    </row>
    <row r="560" spans="2:14" ht="18" customHeight="1">
      <c r="B560" s="90"/>
      <c r="C560" s="90"/>
      <c r="D560" s="90"/>
      <c r="E560" s="90"/>
      <c r="F560" s="90"/>
      <c r="G560" s="90"/>
      <c r="H560" s="101"/>
      <c r="I560" s="90"/>
      <c r="J560" s="90"/>
      <c r="K560" s="90"/>
      <c r="L560" s="90"/>
      <c r="M560" s="111"/>
      <c r="N560" s="111"/>
    </row>
    <row r="561" spans="2:14" ht="18" customHeight="1">
      <c r="B561" s="90"/>
      <c r="C561" s="90"/>
      <c r="D561" s="90"/>
      <c r="E561" s="90"/>
      <c r="F561" s="90"/>
      <c r="G561" s="90"/>
      <c r="H561" s="101"/>
      <c r="I561" s="90"/>
      <c r="J561" s="90"/>
      <c r="K561" s="90"/>
      <c r="L561" s="90"/>
      <c r="M561" s="111"/>
      <c r="N561" s="111"/>
    </row>
    <row r="562" spans="2:14" ht="18" customHeight="1">
      <c r="B562" s="90"/>
      <c r="C562" s="90"/>
      <c r="D562" s="90"/>
      <c r="E562" s="90"/>
      <c r="F562" s="90"/>
      <c r="G562" s="90"/>
      <c r="H562" s="101"/>
      <c r="I562" s="90"/>
      <c r="J562" s="90"/>
      <c r="K562" s="90"/>
      <c r="L562" s="90"/>
      <c r="M562" s="111"/>
      <c r="N562" s="111"/>
    </row>
    <row r="563" spans="2:14" ht="18" customHeight="1">
      <c r="B563" s="90"/>
      <c r="C563" s="90"/>
      <c r="D563" s="90"/>
      <c r="E563" s="90"/>
      <c r="F563" s="90"/>
      <c r="G563" s="90"/>
      <c r="H563" s="101"/>
      <c r="I563" s="90"/>
      <c r="J563" s="90"/>
      <c r="K563" s="90"/>
      <c r="L563" s="90"/>
      <c r="M563" s="111"/>
      <c r="N563" s="111"/>
    </row>
    <row r="564" spans="2:14" ht="18" customHeight="1">
      <c r="B564" s="90"/>
      <c r="C564" s="90"/>
      <c r="D564" s="90"/>
      <c r="E564" s="90"/>
      <c r="F564" s="90"/>
      <c r="G564" s="90"/>
      <c r="H564" s="101"/>
      <c r="I564" s="90"/>
      <c r="J564" s="90"/>
      <c r="K564" s="90"/>
      <c r="L564" s="90"/>
      <c r="M564" s="111"/>
      <c r="N564" s="111"/>
    </row>
    <row r="565" spans="2:14" ht="18" customHeight="1">
      <c r="B565" s="90"/>
      <c r="C565" s="90"/>
      <c r="D565" s="90"/>
      <c r="E565" s="90"/>
      <c r="F565" s="90"/>
      <c r="G565" s="90"/>
      <c r="H565" s="101"/>
      <c r="I565" s="90"/>
      <c r="J565" s="90"/>
      <c r="K565" s="90"/>
      <c r="L565" s="90"/>
      <c r="M565" s="111"/>
      <c r="N565" s="111"/>
    </row>
    <row r="566" spans="2:14" ht="18" customHeight="1">
      <c r="B566" s="90"/>
      <c r="C566" s="90"/>
      <c r="D566" s="90"/>
      <c r="E566" s="90"/>
      <c r="F566" s="90"/>
      <c r="G566" s="90"/>
      <c r="H566" s="101"/>
      <c r="I566" s="90"/>
      <c r="J566" s="90"/>
      <c r="K566" s="90"/>
      <c r="L566" s="90"/>
      <c r="M566" s="111"/>
      <c r="N566" s="111"/>
    </row>
    <row r="567" spans="2:14" ht="18" customHeight="1">
      <c r="B567" s="90"/>
      <c r="C567" s="90"/>
      <c r="D567" s="90"/>
      <c r="E567" s="90"/>
      <c r="F567" s="90"/>
      <c r="G567" s="90"/>
      <c r="H567" s="101"/>
      <c r="I567" s="90"/>
      <c r="J567" s="90"/>
      <c r="K567" s="90"/>
      <c r="L567" s="90"/>
      <c r="M567" s="111"/>
      <c r="N567" s="111"/>
    </row>
    <row r="568" spans="2:14" ht="18" customHeight="1">
      <c r="B568" s="90"/>
      <c r="C568" s="90"/>
      <c r="D568" s="90"/>
      <c r="E568" s="90"/>
      <c r="F568" s="90"/>
      <c r="G568" s="90"/>
      <c r="H568" s="101"/>
      <c r="I568" s="90"/>
      <c r="J568" s="90"/>
      <c r="K568" s="90"/>
      <c r="L568" s="90"/>
      <c r="M568" s="111"/>
      <c r="N568" s="111"/>
    </row>
    <row r="569" spans="2:14" ht="18" customHeight="1">
      <c r="B569" s="90"/>
      <c r="C569" s="90"/>
      <c r="D569" s="90"/>
      <c r="E569" s="90"/>
      <c r="F569" s="90"/>
      <c r="G569" s="90"/>
      <c r="H569" s="101"/>
      <c r="I569" s="90"/>
      <c r="J569" s="90"/>
      <c r="K569" s="90"/>
      <c r="L569" s="90"/>
      <c r="M569" s="111"/>
      <c r="N569" s="111"/>
    </row>
    <row r="570" spans="2:14" ht="18" customHeight="1">
      <c r="B570" s="90"/>
      <c r="C570" s="90"/>
      <c r="D570" s="90"/>
      <c r="E570" s="90"/>
      <c r="F570" s="90"/>
      <c r="G570" s="90"/>
      <c r="H570" s="101"/>
      <c r="I570" s="90"/>
      <c r="J570" s="90"/>
      <c r="K570" s="90"/>
      <c r="L570" s="90"/>
      <c r="M570" s="111"/>
      <c r="N570" s="111"/>
    </row>
    <row r="571" spans="2:14" ht="18" customHeight="1">
      <c r="B571" s="90"/>
      <c r="C571" s="90"/>
      <c r="D571" s="90"/>
      <c r="E571" s="90"/>
      <c r="F571" s="90"/>
      <c r="G571" s="90"/>
      <c r="H571" s="101"/>
      <c r="I571" s="90"/>
      <c r="J571" s="90"/>
      <c r="K571" s="90"/>
      <c r="L571" s="90"/>
      <c r="M571" s="111"/>
      <c r="N571" s="111"/>
    </row>
    <row r="572" spans="2:14" ht="18" customHeight="1">
      <c r="B572" s="90"/>
      <c r="C572" s="90"/>
      <c r="D572" s="90"/>
      <c r="E572" s="90"/>
      <c r="F572" s="90"/>
      <c r="G572" s="90"/>
      <c r="H572" s="101"/>
      <c r="I572" s="90"/>
      <c r="J572" s="90"/>
      <c r="K572" s="90"/>
      <c r="L572" s="90"/>
      <c r="M572" s="111"/>
      <c r="N572" s="111"/>
    </row>
    <row r="573" spans="2:14" ht="18" customHeight="1">
      <c r="B573" s="90"/>
      <c r="C573" s="90"/>
      <c r="D573" s="90"/>
      <c r="E573" s="90"/>
      <c r="F573" s="90"/>
      <c r="G573" s="90"/>
      <c r="H573" s="101"/>
      <c r="I573" s="90"/>
      <c r="J573" s="90"/>
      <c r="K573" s="90"/>
      <c r="L573" s="90"/>
      <c r="M573" s="111"/>
      <c r="N573" s="111"/>
    </row>
    <row r="574" spans="2:14" ht="18" customHeight="1">
      <c r="B574" s="90"/>
      <c r="C574" s="90"/>
      <c r="D574" s="90"/>
      <c r="E574" s="90"/>
      <c r="F574" s="90"/>
      <c r="G574" s="90"/>
      <c r="H574" s="101"/>
      <c r="I574" s="90"/>
      <c r="J574" s="90"/>
      <c r="K574" s="90"/>
      <c r="L574" s="90"/>
      <c r="M574" s="111"/>
      <c r="N574" s="111"/>
    </row>
    <row r="575" spans="2:14" ht="18" customHeight="1">
      <c r="B575" s="90"/>
      <c r="C575" s="90"/>
      <c r="D575" s="90"/>
      <c r="E575" s="90"/>
      <c r="F575" s="90"/>
      <c r="G575" s="90"/>
      <c r="H575" s="101"/>
      <c r="I575" s="90"/>
      <c r="J575" s="90"/>
      <c r="K575" s="90"/>
      <c r="L575" s="90"/>
      <c r="M575" s="111"/>
      <c r="N575" s="111"/>
    </row>
    <row r="576" spans="2:14" ht="18" customHeight="1">
      <c r="B576" s="90"/>
      <c r="C576" s="90"/>
      <c r="D576" s="90"/>
      <c r="E576" s="90"/>
      <c r="F576" s="90"/>
      <c r="G576" s="90"/>
      <c r="H576" s="101"/>
      <c r="I576" s="90"/>
      <c r="J576" s="90"/>
      <c r="K576" s="90"/>
      <c r="L576" s="90"/>
      <c r="M576" s="111"/>
      <c r="N576" s="111"/>
    </row>
    <row r="577" spans="2:14" ht="18" customHeight="1">
      <c r="B577" s="90"/>
      <c r="C577" s="90"/>
      <c r="D577" s="90"/>
      <c r="E577" s="90"/>
      <c r="F577" s="90"/>
      <c r="G577" s="90"/>
      <c r="H577" s="101"/>
      <c r="I577" s="90"/>
      <c r="J577" s="90"/>
      <c r="K577" s="90"/>
      <c r="L577" s="90"/>
      <c r="M577" s="111"/>
      <c r="N577" s="111"/>
    </row>
    <row r="578" spans="2:14" ht="18" customHeight="1">
      <c r="B578" s="90"/>
      <c r="C578" s="90"/>
      <c r="D578" s="90"/>
      <c r="E578" s="90"/>
      <c r="F578" s="90"/>
      <c r="G578" s="90"/>
      <c r="H578" s="101"/>
      <c r="I578" s="90"/>
      <c r="J578" s="90"/>
      <c r="K578" s="90"/>
      <c r="L578" s="90"/>
      <c r="M578" s="111"/>
      <c r="N578" s="111"/>
    </row>
    <row r="579" spans="2:14" ht="18" customHeight="1">
      <c r="B579" s="90"/>
      <c r="C579" s="90"/>
      <c r="D579" s="90"/>
      <c r="E579" s="90"/>
      <c r="F579" s="90"/>
      <c r="G579" s="90"/>
      <c r="H579" s="101"/>
      <c r="I579" s="90"/>
      <c r="J579" s="90"/>
      <c r="K579" s="90"/>
      <c r="L579" s="90"/>
      <c r="M579" s="111"/>
      <c r="N579" s="111"/>
    </row>
    <row r="580" spans="2:14" ht="18" customHeight="1">
      <c r="B580" s="90"/>
      <c r="C580" s="90"/>
      <c r="D580" s="90"/>
      <c r="E580" s="90"/>
      <c r="F580" s="90"/>
      <c r="G580" s="90"/>
      <c r="H580" s="101"/>
      <c r="I580" s="90"/>
      <c r="J580" s="90"/>
      <c r="K580" s="90"/>
      <c r="L580" s="90"/>
      <c r="M580" s="111"/>
      <c r="N580" s="111"/>
    </row>
    <row r="581" spans="2:14" ht="18" customHeight="1">
      <c r="B581" s="90"/>
      <c r="C581" s="90"/>
      <c r="D581" s="90"/>
      <c r="E581" s="90"/>
      <c r="F581" s="90"/>
      <c r="G581" s="90"/>
      <c r="H581" s="101"/>
      <c r="I581" s="90"/>
      <c r="J581" s="90"/>
      <c r="K581" s="90"/>
      <c r="L581" s="90"/>
      <c r="M581" s="111"/>
      <c r="N581" s="111"/>
    </row>
    <row r="582" spans="2:14" ht="18" customHeight="1">
      <c r="B582" s="90"/>
      <c r="C582" s="90"/>
      <c r="D582" s="90"/>
      <c r="E582" s="90"/>
      <c r="F582" s="90"/>
      <c r="G582" s="90"/>
      <c r="H582" s="101"/>
      <c r="I582" s="90"/>
      <c r="J582" s="90"/>
      <c r="K582" s="90"/>
      <c r="L582" s="90"/>
      <c r="M582" s="111"/>
      <c r="N582" s="111"/>
    </row>
    <row r="583" spans="2:14" ht="18" customHeight="1">
      <c r="B583" s="90"/>
      <c r="C583" s="90"/>
      <c r="D583" s="90"/>
      <c r="E583" s="90"/>
      <c r="F583" s="90"/>
      <c r="G583" s="90"/>
      <c r="H583" s="101"/>
      <c r="I583" s="90"/>
      <c r="J583" s="90"/>
      <c r="K583" s="90"/>
      <c r="L583" s="90"/>
      <c r="M583" s="111"/>
      <c r="N583" s="111"/>
    </row>
    <row r="584" spans="2:14" ht="18" customHeight="1">
      <c r="B584" s="90"/>
      <c r="C584" s="90"/>
      <c r="D584" s="90"/>
      <c r="E584" s="90"/>
      <c r="F584" s="90"/>
      <c r="G584" s="90"/>
      <c r="H584" s="101"/>
      <c r="I584" s="90"/>
      <c r="J584" s="90"/>
      <c r="K584" s="90"/>
      <c r="L584" s="90"/>
      <c r="M584" s="111"/>
      <c r="N584" s="111"/>
    </row>
    <row r="585" spans="2:14" ht="18" customHeight="1">
      <c r="B585" s="90"/>
      <c r="C585" s="90"/>
      <c r="D585" s="90"/>
      <c r="E585" s="90"/>
      <c r="F585" s="90"/>
      <c r="G585" s="90"/>
      <c r="H585" s="101"/>
      <c r="I585" s="90"/>
      <c r="J585" s="90"/>
      <c r="K585" s="90"/>
      <c r="L585" s="90"/>
      <c r="M585" s="111"/>
      <c r="N585" s="111"/>
    </row>
    <row r="586" spans="2:14" ht="18" customHeight="1">
      <c r="B586" s="90"/>
      <c r="C586" s="90"/>
      <c r="D586" s="90"/>
      <c r="E586" s="90"/>
      <c r="F586" s="90"/>
      <c r="G586" s="90"/>
      <c r="H586" s="101"/>
      <c r="I586" s="90"/>
      <c r="J586" s="90"/>
      <c r="K586" s="90"/>
      <c r="L586" s="90"/>
      <c r="M586" s="111"/>
      <c r="N586" s="111"/>
    </row>
    <row r="587" spans="2:14" ht="18" customHeight="1">
      <c r="B587" s="90"/>
      <c r="C587" s="90"/>
      <c r="D587" s="90"/>
      <c r="E587" s="90"/>
      <c r="F587" s="90"/>
      <c r="G587" s="90"/>
      <c r="H587" s="101"/>
      <c r="I587" s="90"/>
      <c r="J587" s="90"/>
      <c r="K587" s="90"/>
      <c r="L587" s="90"/>
      <c r="M587" s="111"/>
      <c r="N587" s="111"/>
    </row>
    <row r="588" spans="2:14" ht="18" customHeight="1">
      <c r="B588" s="90"/>
      <c r="C588" s="90"/>
      <c r="D588" s="90"/>
      <c r="E588" s="90"/>
      <c r="F588" s="90"/>
      <c r="G588" s="90"/>
      <c r="H588" s="101"/>
      <c r="I588" s="90"/>
      <c r="J588" s="90"/>
      <c r="K588" s="90"/>
      <c r="L588" s="90"/>
      <c r="M588" s="111"/>
      <c r="N588" s="111"/>
    </row>
    <row r="589" spans="2:14" ht="18" customHeight="1">
      <c r="B589" s="90"/>
      <c r="C589" s="90"/>
      <c r="D589" s="90"/>
      <c r="E589" s="90"/>
      <c r="F589" s="90"/>
      <c r="G589" s="90"/>
      <c r="H589" s="101"/>
      <c r="I589" s="90"/>
      <c r="J589" s="90"/>
      <c r="K589" s="90"/>
      <c r="L589" s="90"/>
      <c r="M589" s="111"/>
      <c r="N589" s="111"/>
    </row>
    <row r="590" spans="2:14" ht="18" customHeight="1">
      <c r="B590" s="90"/>
      <c r="C590" s="90"/>
      <c r="D590" s="90"/>
      <c r="E590" s="90"/>
      <c r="F590" s="90"/>
      <c r="G590" s="90"/>
      <c r="H590" s="101"/>
      <c r="I590" s="90"/>
      <c r="J590" s="90"/>
      <c r="K590" s="90"/>
      <c r="L590" s="90"/>
      <c r="M590" s="111"/>
      <c r="N590" s="111"/>
    </row>
    <row r="591" spans="2:14" ht="18" customHeight="1">
      <c r="B591" s="90"/>
      <c r="C591" s="90"/>
      <c r="D591" s="90"/>
      <c r="E591" s="90"/>
      <c r="F591" s="90"/>
      <c r="G591" s="90"/>
      <c r="H591" s="101"/>
      <c r="I591" s="90"/>
      <c r="J591" s="90"/>
      <c r="K591" s="90"/>
      <c r="L591" s="90"/>
      <c r="M591" s="111"/>
      <c r="N591" s="111"/>
    </row>
    <row r="592" spans="2:14" ht="18" customHeight="1">
      <c r="B592" s="90"/>
      <c r="C592" s="90"/>
      <c r="D592" s="90"/>
      <c r="E592" s="90"/>
      <c r="F592" s="90"/>
      <c r="G592" s="90"/>
      <c r="H592" s="101"/>
      <c r="I592" s="90"/>
      <c r="J592" s="90"/>
      <c r="K592" s="90"/>
      <c r="L592" s="90"/>
      <c r="M592" s="111"/>
      <c r="N592" s="111"/>
    </row>
    <row r="593" spans="2:14" ht="18" customHeight="1">
      <c r="B593" s="90"/>
      <c r="C593" s="90"/>
      <c r="D593" s="90"/>
      <c r="E593" s="90"/>
      <c r="F593" s="90"/>
      <c r="G593" s="90"/>
      <c r="H593" s="101"/>
      <c r="I593" s="90"/>
      <c r="J593" s="90"/>
      <c r="K593" s="90"/>
      <c r="L593" s="90"/>
      <c r="M593" s="111"/>
      <c r="N593" s="111"/>
    </row>
    <row r="594" spans="2:14" ht="18" customHeight="1">
      <c r="B594" s="90"/>
      <c r="C594" s="90"/>
      <c r="D594" s="90"/>
      <c r="E594" s="90"/>
      <c r="F594" s="90"/>
      <c r="G594" s="90"/>
      <c r="H594" s="101"/>
      <c r="I594" s="90"/>
      <c r="J594" s="90"/>
      <c r="K594" s="90"/>
      <c r="L594" s="90"/>
      <c r="M594" s="111"/>
      <c r="N594" s="111"/>
    </row>
    <row r="595" spans="2:14" ht="18" customHeight="1">
      <c r="B595" s="90"/>
      <c r="C595" s="90"/>
      <c r="D595" s="90"/>
      <c r="E595" s="90"/>
      <c r="F595" s="90"/>
      <c r="G595" s="90"/>
      <c r="H595" s="101"/>
      <c r="I595" s="90"/>
      <c r="J595" s="90"/>
      <c r="K595" s="90"/>
      <c r="L595" s="90"/>
      <c r="M595" s="111"/>
      <c r="N595" s="111"/>
    </row>
    <row r="596" spans="2:14" ht="18" customHeight="1">
      <c r="B596" s="90"/>
      <c r="C596" s="90"/>
      <c r="D596" s="90"/>
      <c r="E596" s="90"/>
      <c r="F596" s="90"/>
      <c r="G596" s="90"/>
      <c r="H596" s="101"/>
      <c r="I596" s="90"/>
      <c r="J596" s="90"/>
      <c r="K596" s="90"/>
      <c r="L596" s="90"/>
      <c r="M596" s="111"/>
      <c r="N596" s="111"/>
    </row>
    <row r="597" spans="2:14" ht="18" customHeight="1">
      <c r="B597" s="90"/>
      <c r="C597" s="90"/>
      <c r="D597" s="90"/>
      <c r="E597" s="90"/>
      <c r="F597" s="90"/>
      <c r="G597" s="90"/>
      <c r="H597" s="101"/>
      <c r="I597" s="90"/>
      <c r="J597" s="90"/>
      <c r="K597" s="90"/>
      <c r="L597" s="90"/>
      <c r="M597" s="111"/>
      <c r="N597" s="111"/>
    </row>
    <row r="598" spans="2:14" ht="18" customHeight="1">
      <c r="B598" s="90"/>
      <c r="C598" s="90"/>
      <c r="D598" s="90"/>
      <c r="E598" s="90"/>
      <c r="F598" s="90"/>
      <c r="G598" s="90"/>
      <c r="H598" s="101"/>
      <c r="I598" s="90"/>
      <c r="J598" s="90"/>
      <c r="K598" s="90"/>
      <c r="L598" s="90"/>
      <c r="M598" s="111"/>
      <c r="N598" s="111"/>
    </row>
    <row r="599" spans="2:14" ht="18" customHeight="1">
      <c r="B599" s="90"/>
      <c r="C599" s="90"/>
      <c r="D599" s="90"/>
      <c r="E599" s="90"/>
      <c r="F599" s="90"/>
      <c r="G599" s="90"/>
      <c r="H599" s="101"/>
      <c r="I599" s="90"/>
      <c r="J599" s="90"/>
      <c r="K599" s="90"/>
      <c r="L599" s="90"/>
      <c r="M599" s="111"/>
      <c r="N599" s="111"/>
    </row>
    <row r="600" spans="2:14" ht="18" customHeight="1">
      <c r="B600" s="90"/>
      <c r="C600" s="90"/>
      <c r="D600" s="90"/>
      <c r="E600" s="90"/>
      <c r="F600" s="90"/>
      <c r="G600" s="90"/>
      <c r="H600" s="101"/>
      <c r="I600" s="90"/>
      <c r="J600" s="90"/>
      <c r="K600" s="90"/>
      <c r="L600" s="90"/>
      <c r="M600" s="111"/>
      <c r="N600" s="111"/>
    </row>
    <row r="601" spans="2:14" ht="18" customHeight="1">
      <c r="B601" s="90"/>
      <c r="C601" s="90"/>
      <c r="D601" s="90"/>
      <c r="E601" s="90"/>
      <c r="F601" s="90"/>
      <c r="G601" s="90"/>
      <c r="H601" s="101"/>
      <c r="I601" s="90"/>
      <c r="J601" s="90"/>
      <c r="K601" s="90"/>
      <c r="L601" s="90"/>
      <c r="M601" s="111"/>
      <c r="N601" s="111"/>
    </row>
    <row r="602" spans="2:14" ht="18" customHeight="1">
      <c r="B602" s="90"/>
      <c r="C602" s="90"/>
      <c r="D602" s="90"/>
      <c r="E602" s="90"/>
      <c r="F602" s="90"/>
      <c r="G602" s="90"/>
      <c r="H602" s="101"/>
      <c r="I602" s="90"/>
      <c r="J602" s="90"/>
      <c r="K602" s="90"/>
      <c r="L602" s="90"/>
      <c r="M602" s="111"/>
      <c r="N602" s="111"/>
    </row>
    <row r="603" spans="2:14" ht="18" customHeight="1">
      <c r="B603" s="90"/>
      <c r="C603" s="90"/>
      <c r="D603" s="90"/>
      <c r="E603" s="90"/>
      <c r="F603" s="90"/>
      <c r="G603" s="90"/>
      <c r="H603" s="101"/>
      <c r="I603" s="90"/>
      <c r="J603" s="90"/>
      <c r="K603" s="90"/>
      <c r="L603" s="90"/>
      <c r="M603" s="111"/>
      <c r="N603" s="111"/>
    </row>
    <row r="604" spans="2:14" ht="18" customHeight="1">
      <c r="B604" s="90"/>
      <c r="C604" s="90"/>
      <c r="D604" s="90"/>
      <c r="E604" s="90"/>
      <c r="F604" s="90"/>
      <c r="G604" s="90"/>
      <c r="H604" s="101"/>
      <c r="I604" s="90"/>
      <c r="J604" s="90"/>
      <c r="K604" s="90"/>
      <c r="L604" s="90"/>
      <c r="M604" s="111"/>
      <c r="N604" s="111"/>
    </row>
    <row r="605" spans="2:14" ht="18" customHeight="1">
      <c r="B605" s="90"/>
      <c r="C605" s="90"/>
      <c r="D605" s="90"/>
      <c r="E605" s="90"/>
      <c r="F605" s="90"/>
      <c r="G605" s="90"/>
      <c r="H605" s="101"/>
      <c r="I605" s="90"/>
      <c r="J605" s="90"/>
      <c r="K605" s="90"/>
      <c r="L605" s="90"/>
      <c r="M605" s="111"/>
      <c r="N605" s="111"/>
    </row>
    <row r="606" spans="2:14" ht="18" customHeight="1">
      <c r="B606" s="90"/>
      <c r="C606" s="90"/>
      <c r="D606" s="90"/>
      <c r="E606" s="90"/>
      <c r="F606" s="90"/>
      <c r="G606" s="90"/>
      <c r="H606" s="101"/>
      <c r="I606" s="90"/>
      <c r="J606" s="90"/>
      <c r="K606" s="90"/>
      <c r="L606" s="90"/>
      <c r="M606" s="111"/>
      <c r="N606" s="111"/>
    </row>
    <row r="607" spans="2:14" ht="18" customHeight="1">
      <c r="B607" s="90"/>
      <c r="C607" s="90"/>
      <c r="D607" s="90"/>
      <c r="E607" s="90"/>
      <c r="F607" s="90"/>
      <c r="G607" s="90"/>
      <c r="H607" s="101"/>
      <c r="I607" s="90"/>
      <c r="J607" s="90"/>
      <c r="K607" s="90"/>
      <c r="L607" s="90"/>
      <c r="M607" s="111"/>
      <c r="N607" s="111"/>
    </row>
    <row r="608" spans="2:14" ht="18" customHeight="1">
      <c r="B608" s="90"/>
      <c r="C608" s="90"/>
      <c r="D608" s="90"/>
      <c r="E608" s="90"/>
      <c r="F608" s="90"/>
      <c r="G608" s="90"/>
      <c r="H608" s="101"/>
      <c r="I608" s="90"/>
      <c r="J608" s="90"/>
      <c r="K608" s="90"/>
      <c r="L608" s="90"/>
      <c r="M608" s="111"/>
      <c r="N608" s="111"/>
    </row>
    <row r="609" spans="2:14" ht="18" customHeight="1">
      <c r="B609" s="90"/>
      <c r="C609" s="90"/>
      <c r="D609" s="90"/>
      <c r="E609" s="90"/>
      <c r="F609" s="90"/>
      <c r="G609" s="90"/>
      <c r="H609" s="101"/>
      <c r="I609" s="90"/>
      <c r="J609" s="90"/>
      <c r="K609" s="90"/>
      <c r="L609" s="90"/>
      <c r="M609" s="111"/>
      <c r="N609" s="111"/>
    </row>
    <row r="610" spans="2:14" ht="18" customHeight="1">
      <c r="B610" s="90"/>
      <c r="C610" s="90"/>
      <c r="D610" s="90"/>
      <c r="E610" s="90"/>
      <c r="F610" s="90"/>
      <c r="G610" s="90"/>
      <c r="H610" s="101"/>
      <c r="I610" s="90"/>
      <c r="J610" s="90"/>
      <c r="K610" s="90"/>
      <c r="L610" s="90"/>
      <c r="M610" s="111"/>
      <c r="N610" s="111"/>
    </row>
    <row r="611" spans="2:14" ht="18" customHeight="1">
      <c r="B611" s="90"/>
      <c r="C611" s="90"/>
      <c r="D611" s="90"/>
      <c r="E611" s="90"/>
      <c r="F611" s="90"/>
      <c r="G611" s="90"/>
      <c r="H611" s="101"/>
      <c r="I611" s="90"/>
      <c r="J611" s="90"/>
      <c r="K611" s="90"/>
      <c r="L611" s="90"/>
      <c r="M611" s="111"/>
      <c r="N611" s="111"/>
    </row>
    <row r="612" spans="2:14" ht="18" customHeight="1">
      <c r="B612" s="90"/>
      <c r="C612" s="90"/>
      <c r="D612" s="90"/>
      <c r="E612" s="90"/>
      <c r="F612" s="90"/>
      <c r="G612" s="90"/>
      <c r="H612" s="101"/>
      <c r="I612" s="90"/>
      <c r="J612" s="90"/>
      <c r="K612" s="90"/>
      <c r="L612" s="90"/>
      <c r="M612" s="111"/>
      <c r="N612" s="111"/>
    </row>
    <row r="613" spans="2:14" ht="18" customHeight="1">
      <c r="B613" s="90"/>
      <c r="C613" s="90"/>
      <c r="D613" s="90"/>
      <c r="E613" s="90"/>
      <c r="F613" s="90"/>
      <c r="G613" s="90"/>
      <c r="H613" s="101"/>
      <c r="I613" s="90"/>
      <c r="J613" s="90"/>
      <c r="K613" s="90"/>
      <c r="L613" s="90"/>
      <c r="M613" s="111"/>
      <c r="N613" s="111"/>
    </row>
    <row r="614" spans="2:14" ht="18" customHeight="1">
      <c r="B614" s="90"/>
      <c r="C614" s="90"/>
      <c r="D614" s="90"/>
      <c r="E614" s="90"/>
      <c r="F614" s="90"/>
      <c r="G614" s="90"/>
      <c r="H614" s="101"/>
      <c r="I614" s="90"/>
      <c r="J614" s="90"/>
      <c r="K614" s="90"/>
      <c r="L614" s="90"/>
      <c r="M614" s="111"/>
      <c r="N614" s="111"/>
    </row>
    <row r="615" spans="2:14" ht="18" customHeight="1">
      <c r="B615" s="90"/>
      <c r="C615" s="90"/>
      <c r="D615" s="90"/>
      <c r="E615" s="90"/>
      <c r="F615" s="90"/>
      <c r="G615" s="90"/>
      <c r="H615" s="101"/>
      <c r="I615" s="90"/>
      <c r="J615" s="90"/>
      <c r="K615" s="90"/>
      <c r="L615" s="90"/>
      <c r="M615" s="111"/>
      <c r="N615" s="111"/>
    </row>
    <row r="616" spans="2:14" ht="18" customHeight="1">
      <c r="B616" s="90"/>
      <c r="C616" s="90"/>
      <c r="D616" s="90"/>
      <c r="E616" s="90"/>
      <c r="F616" s="90"/>
      <c r="G616" s="90"/>
      <c r="H616" s="101"/>
      <c r="I616" s="90"/>
      <c r="J616" s="90"/>
      <c r="K616" s="90"/>
      <c r="L616" s="90"/>
      <c r="M616" s="111"/>
      <c r="N616" s="111"/>
    </row>
    <row r="617" spans="2:14" ht="18" customHeight="1">
      <c r="B617" s="90"/>
      <c r="C617" s="90"/>
      <c r="D617" s="90"/>
      <c r="E617" s="90"/>
      <c r="F617" s="90"/>
      <c r="G617" s="90"/>
      <c r="H617" s="101"/>
      <c r="I617" s="90"/>
      <c r="J617" s="90"/>
      <c r="K617" s="90"/>
      <c r="L617" s="90"/>
      <c r="M617" s="111"/>
      <c r="N617" s="111"/>
    </row>
    <row r="618" spans="2:14" ht="18" customHeight="1">
      <c r="B618" s="90"/>
      <c r="C618" s="90"/>
      <c r="D618" s="90"/>
      <c r="E618" s="90"/>
      <c r="F618" s="90"/>
      <c r="G618" s="90"/>
      <c r="H618" s="101"/>
      <c r="I618" s="90"/>
      <c r="J618" s="90"/>
      <c r="K618" s="90"/>
      <c r="L618" s="90"/>
      <c r="M618" s="111"/>
      <c r="N618" s="111"/>
    </row>
    <row r="619" spans="2:14" ht="18" customHeight="1">
      <c r="B619" s="90"/>
      <c r="C619" s="90"/>
      <c r="D619" s="90"/>
      <c r="E619" s="90"/>
      <c r="F619" s="90"/>
      <c r="G619" s="90"/>
      <c r="H619" s="101"/>
      <c r="I619" s="90"/>
      <c r="J619" s="90"/>
      <c r="K619" s="90"/>
      <c r="L619" s="90"/>
      <c r="M619" s="111"/>
      <c r="N619" s="111"/>
    </row>
    <row r="620" spans="2:14" ht="18" customHeight="1">
      <c r="B620" s="90"/>
      <c r="C620" s="90"/>
      <c r="D620" s="90"/>
      <c r="E620" s="90"/>
      <c r="F620" s="90"/>
      <c r="G620" s="90"/>
      <c r="H620" s="101"/>
      <c r="I620" s="90"/>
      <c r="J620" s="90"/>
      <c r="K620" s="90"/>
      <c r="L620" s="90"/>
      <c r="M620" s="111"/>
      <c r="N620" s="111"/>
    </row>
    <row r="621" spans="2:14" ht="18" customHeight="1">
      <c r="B621" s="90"/>
      <c r="C621" s="90"/>
      <c r="D621" s="90"/>
      <c r="E621" s="90"/>
      <c r="F621" s="90"/>
      <c r="G621" s="90"/>
      <c r="H621" s="101"/>
      <c r="I621" s="90"/>
      <c r="J621" s="90"/>
      <c r="K621" s="90"/>
      <c r="L621" s="90"/>
      <c r="M621" s="111"/>
      <c r="N621" s="111"/>
    </row>
    <row r="622" spans="2:14" ht="18" customHeight="1">
      <c r="B622" s="90"/>
      <c r="C622" s="90"/>
      <c r="D622" s="90"/>
      <c r="E622" s="90"/>
      <c r="F622" s="90"/>
      <c r="G622" s="90"/>
      <c r="H622" s="101"/>
      <c r="I622" s="90"/>
      <c r="J622" s="90"/>
      <c r="K622" s="90"/>
      <c r="L622" s="90"/>
      <c r="M622" s="111"/>
      <c r="N622" s="111"/>
    </row>
    <row r="623" spans="2:14" ht="18" customHeight="1">
      <c r="B623" s="90"/>
      <c r="C623" s="90"/>
      <c r="D623" s="90"/>
      <c r="E623" s="90"/>
      <c r="F623" s="90"/>
      <c r="G623" s="90"/>
      <c r="H623" s="101"/>
      <c r="I623" s="90"/>
      <c r="J623" s="90"/>
      <c r="K623" s="90"/>
      <c r="L623" s="90"/>
      <c r="M623" s="111"/>
      <c r="N623" s="111"/>
    </row>
    <row r="624" spans="2:14" ht="18" customHeight="1">
      <c r="B624" s="90"/>
      <c r="C624" s="90"/>
      <c r="D624" s="90"/>
      <c r="E624" s="90"/>
      <c r="F624" s="90"/>
      <c r="G624" s="90"/>
      <c r="H624" s="101"/>
      <c r="I624" s="90"/>
      <c r="J624" s="90"/>
      <c r="K624" s="90"/>
      <c r="L624" s="90"/>
      <c r="M624" s="111"/>
      <c r="N624" s="111"/>
    </row>
    <row r="625" spans="2:14" ht="18" customHeight="1">
      <c r="B625" s="90"/>
      <c r="C625" s="90"/>
      <c r="D625" s="90"/>
      <c r="E625" s="90"/>
      <c r="F625" s="90"/>
      <c r="G625" s="90"/>
      <c r="H625" s="101"/>
      <c r="I625" s="90"/>
      <c r="J625" s="90"/>
      <c r="K625" s="90"/>
      <c r="L625" s="90"/>
      <c r="M625" s="111"/>
      <c r="N625" s="111"/>
    </row>
    <row r="626" spans="2:14" ht="18" customHeight="1">
      <c r="B626" s="90"/>
      <c r="C626" s="90"/>
      <c r="D626" s="90"/>
      <c r="E626" s="90"/>
      <c r="F626" s="90"/>
      <c r="G626" s="90"/>
      <c r="H626" s="101"/>
      <c r="I626" s="90"/>
      <c r="J626" s="90"/>
      <c r="K626" s="90"/>
      <c r="L626" s="90"/>
      <c r="M626" s="111"/>
      <c r="N626" s="111"/>
    </row>
    <row r="627" spans="2:14" ht="18" customHeight="1">
      <c r="B627" s="90"/>
      <c r="C627" s="90"/>
      <c r="D627" s="90"/>
      <c r="E627" s="90"/>
      <c r="F627" s="90"/>
      <c r="G627" s="90"/>
      <c r="H627" s="101"/>
      <c r="I627" s="90"/>
      <c r="J627" s="90"/>
      <c r="K627" s="90"/>
      <c r="L627" s="90"/>
      <c r="M627" s="111"/>
      <c r="N627" s="111"/>
    </row>
    <row r="628" spans="2:14" ht="18" customHeight="1">
      <c r="B628" s="90"/>
      <c r="C628" s="90"/>
      <c r="D628" s="90"/>
      <c r="E628" s="90"/>
      <c r="F628" s="90"/>
      <c r="G628" s="90"/>
      <c r="H628" s="101"/>
      <c r="I628" s="90"/>
      <c r="J628" s="90"/>
      <c r="K628" s="90"/>
      <c r="L628" s="90"/>
      <c r="M628" s="111"/>
      <c r="N628" s="111"/>
    </row>
    <row r="629" spans="2:14" ht="18" customHeight="1">
      <c r="B629" s="90"/>
      <c r="C629" s="90"/>
      <c r="D629" s="90"/>
      <c r="E629" s="90"/>
      <c r="F629" s="90"/>
      <c r="G629" s="90"/>
      <c r="H629" s="101"/>
      <c r="I629" s="90"/>
      <c r="J629" s="90"/>
      <c r="K629" s="90"/>
      <c r="L629" s="90"/>
      <c r="M629" s="111"/>
      <c r="N629" s="111"/>
    </row>
    <row r="630" spans="2:14" ht="18" customHeight="1">
      <c r="B630" s="90"/>
      <c r="C630" s="90"/>
      <c r="D630" s="90"/>
      <c r="E630" s="90"/>
      <c r="F630" s="90"/>
      <c r="G630" s="90"/>
      <c r="H630" s="101"/>
      <c r="I630" s="90"/>
      <c r="J630" s="90"/>
      <c r="K630" s="90"/>
      <c r="L630" s="90"/>
      <c r="M630" s="111"/>
      <c r="N630" s="111"/>
    </row>
    <row r="631" spans="2:14" ht="18" customHeight="1">
      <c r="B631" s="90"/>
      <c r="C631" s="90"/>
      <c r="D631" s="90"/>
      <c r="E631" s="90"/>
      <c r="F631" s="90"/>
      <c r="G631" s="90"/>
      <c r="H631" s="101"/>
      <c r="I631" s="90"/>
      <c r="J631" s="90"/>
      <c r="K631" s="90"/>
      <c r="L631" s="90"/>
      <c r="M631" s="111"/>
      <c r="N631" s="111"/>
    </row>
    <row r="632" spans="2:14" ht="18" customHeight="1">
      <c r="B632" s="90"/>
      <c r="C632" s="90"/>
      <c r="D632" s="90"/>
      <c r="E632" s="90"/>
      <c r="F632" s="90"/>
      <c r="G632" s="90"/>
      <c r="H632" s="101"/>
      <c r="I632" s="90"/>
      <c r="J632" s="90"/>
      <c r="K632" s="90"/>
      <c r="L632" s="90"/>
      <c r="M632" s="111"/>
      <c r="N632" s="111"/>
    </row>
    <row r="633" spans="2:14" ht="18" customHeight="1">
      <c r="B633" s="90"/>
      <c r="C633" s="90"/>
      <c r="D633" s="90"/>
      <c r="E633" s="90"/>
      <c r="F633" s="90"/>
      <c r="G633" s="90"/>
      <c r="H633" s="101"/>
      <c r="I633" s="90"/>
      <c r="J633" s="90"/>
      <c r="K633" s="90"/>
      <c r="L633" s="90"/>
      <c r="M633" s="111"/>
      <c r="N633" s="111"/>
    </row>
    <row r="634" spans="2:14" ht="18" customHeight="1">
      <c r="B634" s="90"/>
      <c r="C634" s="90"/>
      <c r="D634" s="90"/>
      <c r="E634" s="90"/>
      <c r="F634" s="90"/>
      <c r="G634" s="90"/>
      <c r="H634" s="101"/>
      <c r="I634" s="90"/>
      <c r="J634" s="90"/>
      <c r="K634" s="90"/>
      <c r="L634" s="90"/>
      <c r="M634" s="111"/>
      <c r="N634" s="111"/>
    </row>
    <row r="635" spans="2:14" ht="18" customHeight="1">
      <c r="B635" s="90"/>
      <c r="C635" s="90"/>
      <c r="D635" s="90"/>
      <c r="E635" s="90"/>
      <c r="F635" s="90"/>
      <c r="G635" s="90"/>
      <c r="H635" s="101"/>
      <c r="I635" s="90"/>
      <c r="J635" s="90"/>
      <c r="K635" s="90"/>
      <c r="L635" s="90"/>
      <c r="M635" s="111"/>
      <c r="N635" s="111"/>
    </row>
    <row r="636" spans="2:14" ht="18" customHeight="1">
      <c r="B636" s="90"/>
      <c r="C636" s="90"/>
      <c r="D636" s="90"/>
      <c r="E636" s="90"/>
      <c r="F636" s="90"/>
      <c r="G636" s="90"/>
      <c r="H636" s="101"/>
      <c r="I636" s="90"/>
      <c r="J636" s="90"/>
      <c r="K636" s="90"/>
      <c r="L636" s="90"/>
      <c r="M636" s="111"/>
      <c r="N636" s="111"/>
    </row>
    <row r="637" spans="2:14" ht="18" customHeight="1">
      <c r="B637" s="90"/>
      <c r="C637" s="90"/>
      <c r="D637" s="90"/>
      <c r="E637" s="90"/>
      <c r="F637" s="90"/>
      <c r="G637" s="90"/>
      <c r="H637" s="101"/>
      <c r="I637" s="90"/>
      <c r="J637" s="90"/>
      <c r="K637" s="90"/>
      <c r="L637" s="90"/>
      <c r="M637" s="111"/>
      <c r="N637" s="111"/>
    </row>
    <row r="638" spans="2:14" ht="18" customHeight="1">
      <c r="B638" s="90"/>
      <c r="C638" s="90"/>
      <c r="D638" s="90"/>
      <c r="E638" s="90"/>
      <c r="F638" s="90"/>
      <c r="G638" s="90"/>
      <c r="H638" s="101"/>
      <c r="I638" s="90"/>
      <c r="J638" s="90"/>
      <c r="K638" s="90"/>
      <c r="L638" s="90"/>
      <c r="M638" s="111"/>
      <c r="N638" s="111"/>
    </row>
    <row r="639" spans="2:14" ht="18" customHeight="1">
      <c r="B639" s="90"/>
      <c r="C639" s="90"/>
      <c r="D639" s="90"/>
      <c r="E639" s="90"/>
      <c r="F639" s="90"/>
      <c r="G639" s="90"/>
      <c r="H639" s="101"/>
      <c r="I639" s="90"/>
      <c r="J639" s="90"/>
      <c r="K639" s="90"/>
      <c r="L639" s="90"/>
      <c r="M639" s="111"/>
      <c r="N639" s="111"/>
    </row>
    <row r="640" spans="2:14" ht="18" customHeight="1">
      <c r="B640" s="90"/>
      <c r="C640" s="90"/>
      <c r="D640" s="90"/>
      <c r="E640" s="90"/>
      <c r="F640" s="90"/>
      <c r="G640" s="90"/>
      <c r="H640" s="101"/>
      <c r="I640" s="90"/>
      <c r="J640" s="90"/>
      <c r="K640" s="90"/>
      <c r="L640" s="90"/>
      <c r="M640" s="111"/>
      <c r="N640" s="111"/>
    </row>
    <row r="641" spans="2:14" ht="18" customHeight="1">
      <c r="B641" s="90"/>
      <c r="C641" s="90"/>
      <c r="D641" s="90"/>
      <c r="E641" s="90"/>
      <c r="F641" s="90"/>
      <c r="G641" s="90"/>
      <c r="H641" s="101"/>
      <c r="I641" s="90"/>
      <c r="J641" s="90"/>
      <c r="K641" s="90"/>
      <c r="L641" s="90"/>
      <c r="M641" s="111"/>
      <c r="N641" s="111"/>
    </row>
    <row r="642" spans="2:14" ht="18" customHeight="1">
      <c r="B642" s="90"/>
      <c r="C642" s="90"/>
      <c r="D642" s="90"/>
      <c r="E642" s="90"/>
      <c r="F642" s="90"/>
      <c r="G642" s="90"/>
      <c r="H642" s="101"/>
      <c r="I642" s="90"/>
      <c r="J642" s="90"/>
      <c r="K642" s="90"/>
      <c r="L642" s="90"/>
      <c r="M642" s="111"/>
      <c r="N642" s="111"/>
    </row>
    <row r="643" spans="2:14" ht="18" customHeight="1">
      <c r="B643" s="90"/>
      <c r="C643" s="90"/>
      <c r="D643" s="90"/>
      <c r="E643" s="90"/>
      <c r="F643" s="90"/>
      <c r="G643" s="90"/>
      <c r="H643" s="101"/>
      <c r="I643" s="90"/>
      <c r="J643" s="90"/>
      <c r="K643" s="90"/>
      <c r="L643" s="90"/>
      <c r="M643" s="111"/>
      <c r="N643" s="111"/>
    </row>
    <row r="644" spans="2:14" ht="18" customHeight="1">
      <c r="B644" s="90"/>
      <c r="C644" s="90"/>
      <c r="D644" s="90"/>
      <c r="E644" s="90"/>
      <c r="F644" s="90"/>
      <c r="G644" s="90"/>
      <c r="H644" s="101"/>
      <c r="I644" s="90"/>
      <c r="J644" s="90"/>
      <c r="K644" s="90"/>
      <c r="L644" s="90"/>
      <c r="M644" s="111"/>
      <c r="N644" s="111"/>
    </row>
    <row r="645" spans="2:14" ht="18" customHeight="1"/>
    <row r="646" spans="2:14" ht="18" customHeight="1"/>
    <row r="647" spans="2:14" ht="18" customHeight="1"/>
    <row r="648" spans="2:14" ht="18" customHeight="1"/>
    <row r="649" spans="2:14" ht="18" customHeight="1"/>
    <row r="650" spans="2:14" ht="18" customHeight="1"/>
    <row r="651" spans="2:14" ht="18" customHeight="1"/>
    <row r="652" spans="2:14" ht="18" customHeight="1"/>
    <row r="653" spans="2:14" ht="18" customHeight="1"/>
    <row r="654" spans="2:14" ht="18" customHeight="1"/>
    <row r="655" spans="2:14" ht="18" customHeight="1"/>
    <row r="656" spans="2:14"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1798" spans="1:1" s="90" customFormat="1">
      <c r="A1798" s="123"/>
    </row>
    <row r="1799" spans="1:1" s="90" customFormat="1">
      <c r="A1799" s="123"/>
    </row>
    <row r="1800" spans="1:1" s="90" customFormat="1">
      <c r="A1800" s="123"/>
    </row>
    <row r="1801" spans="1:1" s="90" customFormat="1">
      <c r="A1801" s="123"/>
    </row>
    <row r="1802" spans="1:1" s="90" customFormat="1">
      <c r="A1802" s="123"/>
    </row>
    <row r="1803" spans="1:1" s="90" customFormat="1">
      <c r="A1803" s="123"/>
    </row>
    <row r="1804" spans="1:1" s="90" customFormat="1">
      <c r="A1804" s="123"/>
    </row>
    <row r="1805" spans="1:1" s="90" customFormat="1">
      <c r="A1805" s="123"/>
    </row>
    <row r="1806" spans="1:1" s="90" customFormat="1">
      <c r="A1806" s="123"/>
    </row>
    <row r="1807" spans="1:1" s="90" customFormat="1">
      <c r="A1807" s="123"/>
    </row>
    <row r="1808" spans="1:1" s="90" customFormat="1">
      <c r="A1808" s="123"/>
    </row>
    <row r="1809" spans="1:1" s="90" customFormat="1">
      <c r="A1809" s="123"/>
    </row>
    <row r="1810" spans="1:1" s="90" customFormat="1">
      <c r="A1810" s="123"/>
    </row>
    <row r="1811" spans="1:1" s="90" customFormat="1">
      <c r="A1811" s="123"/>
    </row>
    <row r="1812" spans="1:1" s="90" customFormat="1">
      <c r="A1812" s="123"/>
    </row>
    <row r="1813" spans="1:1" s="90" customFormat="1">
      <c r="A1813" s="123"/>
    </row>
    <row r="1814" spans="1:1" s="90" customFormat="1">
      <c r="A1814" s="123"/>
    </row>
    <row r="1815" spans="1:1" s="90" customFormat="1">
      <c r="A1815" s="123"/>
    </row>
    <row r="1816" spans="1:1" s="90" customFormat="1">
      <c r="A1816" s="123"/>
    </row>
    <row r="1817" spans="1:1" s="90" customFormat="1">
      <c r="A1817" s="123"/>
    </row>
    <row r="1818" spans="1:1" s="90" customFormat="1">
      <c r="A1818" s="123"/>
    </row>
    <row r="1819" spans="1:1" s="90" customFormat="1">
      <c r="A1819" s="123"/>
    </row>
    <row r="1820" spans="1:1" s="90" customFormat="1">
      <c r="A1820" s="123"/>
    </row>
    <row r="1821" spans="1:1" s="90" customFormat="1">
      <c r="A1821" s="123"/>
    </row>
    <row r="1822" spans="1:1" s="90" customFormat="1">
      <c r="A1822" s="123"/>
    </row>
    <row r="1823" spans="1:1" s="90" customFormat="1">
      <c r="A1823" s="123"/>
    </row>
    <row r="1824" spans="1:1" s="90" customFormat="1">
      <c r="A1824" s="123"/>
    </row>
    <row r="1825" spans="1:1" s="90" customFormat="1">
      <c r="A1825" s="123"/>
    </row>
    <row r="1826" spans="1:1" s="90" customFormat="1">
      <c r="A1826" s="123"/>
    </row>
    <row r="1827" spans="1:1" s="90" customFormat="1">
      <c r="A1827" s="123"/>
    </row>
    <row r="1828" spans="1:1" s="90" customFormat="1">
      <c r="A1828" s="123"/>
    </row>
    <row r="1829" spans="1:1" s="90" customFormat="1">
      <c r="A1829" s="123"/>
    </row>
    <row r="1830" spans="1:1" s="90" customFormat="1">
      <c r="A1830" s="123"/>
    </row>
    <row r="1831" spans="1:1" s="90" customFormat="1">
      <c r="A1831" s="123"/>
    </row>
    <row r="1832" spans="1:1" s="90" customFormat="1">
      <c r="A1832" s="123"/>
    </row>
    <row r="1833" spans="1:1" s="90" customFormat="1">
      <c r="A1833" s="123"/>
    </row>
    <row r="1834" spans="1:1" s="90" customFormat="1">
      <c r="A1834" s="123"/>
    </row>
    <row r="1835" spans="1:1" s="90" customFormat="1">
      <c r="A1835" s="123"/>
    </row>
    <row r="1836" spans="1:1" s="90" customFormat="1">
      <c r="A1836" s="123"/>
    </row>
    <row r="1837" spans="1:1" s="90" customFormat="1">
      <c r="A1837" s="123"/>
    </row>
    <row r="1838" spans="1:1" s="90" customFormat="1">
      <c r="A1838" s="123"/>
    </row>
    <row r="1839" spans="1:1" s="90" customFormat="1">
      <c r="A1839" s="123"/>
    </row>
    <row r="1840" spans="1:1" s="90" customFormat="1">
      <c r="A1840" s="123"/>
    </row>
    <row r="1841" spans="1:1" s="90" customFormat="1">
      <c r="A1841" s="123"/>
    </row>
    <row r="1842" spans="1:1" s="90" customFormat="1">
      <c r="A1842" s="123"/>
    </row>
    <row r="1843" spans="1:1" s="90" customFormat="1">
      <c r="A1843" s="123"/>
    </row>
    <row r="1844" spans="1:1" s="90" customFormat="1">
      <c r="A1844" s="123"/>
    </row>
    <row r="1845" spans="1:1" s="90" customFormat="1">
      <c r="A1845" s="123"/>
    </row>
    <row r="1846" spans="1:1" s="90" customFormat="1">
      <c r="A1846" s="123"/>
    </row>
    <row r="1847" spans="1:1" s="90" customFormat="1">
      <c r="A1847" s="123"/>
    </row>
    <row r="1848" spans="1:1" s="90" customFormat="1">
      <c r="A1848" s="123"/>
    </row>
    <row r="1849" spans="1:1" s="90" customFormat="1">
      <c r="A1849" s="123"/>
    </row>
    <row r="1850" spans="1:1" s="90" customFormat="1">
      <c r="A1850" s="123"/>
    </row>
    <row r="1851" spans="1:1" s="90" customFormat="1">
      <c r="A1851" s="123"/>
    </row>
    <row r="1852" spans="1:1" s="90" customFormat="1">
      <c r="A1852" s="123"/>
    </row>
    <row r="1853" spans="1:1" s="90" customFormat="1">
      <c r="A1853" s="123"/>
    </row>
    <row r="1854" spans="1:1" s="90" customFormat="1">
      <c r="A1854" s="123"/>
    </row>
    <row r="1855" spans="1:1" s="90" customFormat="1">
      <c r="A1855" s="123"/>
    </row>
    <row r="1856" spans="1:1" s="90" customFormat="1">
      <c r="A1856" s="123"/>
    </row>
    <row r="1857" spans="1:1" s="90" customFormat="1">
      <c r="A1857" s="123"/>
    </row>
    <row r="1858" spans="1:1" s="90" customFormat="1">
      <c r="A1858" s="123"/>
    </row>
    <row r="1859" spans="1:1" s="90" customFormat="1">
      <c r="A1859" s="123"/>
    </row>
    <row r="1860" spans="1:1" s="90" customFormat="1">
      <c r="A1860" s="123"/>
    </row>
    <row r="1861" spans="1:1" s="90" customFormat="1">
      <c r="A1861" s="123"/>
    </row>
    <row r="1862" spans="1:1" s="90" customFormat="1">
      <c r="A1862" s="123"/>
    </row>
    <row r="1863" spans="1:1" s="90" customFormat="1">
      <c r="A1863" s="123"/>
    </row>
    <row r="1864" spans="1:1" s="90" customFormat="1">
      <c r="A1864" s="123"/>
    </row>
    <row r="1865" spans="1:1" s="90" customFormat="1">
      <c r="A1865" s="123"/>
    </row>
    <row r="1866" spans="1:1" s="90" customFormat="1">
      <c r="A1866" s="123"/>
    </row>
    <row r="1867" spans="1:1" s="90" customFormat="1">
      <c r="A1867" s="123"/>
    </row>
    <row r="1868" spans="1:1" s="90" customFormat="1">
      <c r="A1868" s="123"/>
    </row>
    <row r="1869" spans="1:1" s="90" customFormat="1">
      <c r="A1869" s="123"/>
    </row>
    <row r="1870" spans="1:1" s="90" customFormat="1">
      <c r="A1870" s="123"/>
    </row>
    <row r="1871" spans="1:1" s="90" customFormat="1">
      <c r="A1871" s="123"/>
    </row>
    <row r="1872" spans="1:1" s="90" customFormat="1">
      <c r="A1872" s="123"/>
    </row>
    <row r="1873" spans="1:1" s="90" customFormat="1">
      <c r="A1873" s="123"/>
    </row>
    <row r="1874" spans="1:1" s="90" customFormat="1">
      <c r="A1874" s="123"/>
    </row>
    <row r="1875" spans="1:1" s="90" customFormat="1">
      <c r="A1875" s="123"/>
    </row>
    <row r="1876" spans="1:1" s="90" customFormat="1">
      <c r="A1876" s="123"/>
    </row>
    <row r="1877" spans="1:1" s="90" customFormat="1">
      <c r="A1877" s="123"/>
    </row>
    <row r="1878" spans="1:1" s="90" customFormat="1">
      <c r="A1878" s="123"/>
    </row>
    <row r="1879" spans="1:1" s="90" customFormat="1">
      <c r="A1879" s="123"/>
    </row>
    <row r="1880" spans="1:1" s="90" customFormat="1">
      <c r="A1880" s="123"/>
    </row>
    <row r="1881" spans="1:1" s="90" customFormat="1">
      <c r="A1881" s="123"/>
    </row>
    <row r="1882" spans="1:1" s="90" customFormat="1">
      <c r="A1882" s="123"/>
    </row>
    <row r="1883" spans="1:1" s="90" customFormat="1">
      <c r="A1883" s="123"/>
    </row>
    <row r="1884" spans="1:1" s="90" customFormat="1">
      <c r="A1884" s="123"/>
    </row>
    <row r="1885" spans="1:1" s="90" customFormat="1">
      <c r="A1885" s="123"/>
    </row>
    <row r="1886" spans="1:1" s="90" customFormat="1">
      <c r="A1886" s="123"/>
    </row>
    <row r="1887" spans="1:1" s="90" customFormat="1">
      <c r="A1887" s="123"/>
    </row>
    <row r="1888" spans="1:1" s="90" customFormat="1">
      <c r="A1888" s="123"/>
    </row>
    <row r="1889" spans="1:1" s="90" customFormat="1">
      <c r="A1889" s="123"/>
    </row>
    <row r="1890" spans="1:1" s="90" customFormat="1">
      <c r="A1890" s="123"/>
    </row>
    <row r="1891" spans="1:1" s="90" customFormat="1">
      <c r="A1891" s="123"/>
    </row>
    <row r="1892" spans="1:1" s="90" customFormat="1">
      <c r="A1892" s="123"/>
    </row>
    <row r="1893" spans="1:1" s="90" customFormat="1">
      <c r="A1893" s="123"/>
    </row>
    <row r="1894" spans="1:1" s="90" customFormat="1">
      <c r="A1894" s="123"/>
    </row>
    <row r="1895" spans="1:1" s="90" customFormat="1">
      <c r="A1895" s="123"/>
    </row>
    <row r="1896" spans="1:1" s="90" customFormat="1">
      <c r="A1896" s="123"/>
    </row>
    <row r="1897" spans="1:1" s="90" customFormat="1">
      <c r="A1897" s="123"/>
    </row>
    <row r="1898" spans="1:1" s="90" customFormat="1">
      <c r="A1898" s="123"/>
    </row>
    <row r="1899" spans="1:1" s="90" customFormat="1">
      <c r="A1899" s="123"/>
    </row>
    <row r="1900" spans="1:1" s="90" customFormat="1">
      <c r="A1900" s="123"/>
    </row>
    <row r="1901" spans="1:1" s="90" customFormat="1">
      <c r="A1901" s="123"/>
    </row>
    <row r="1902" spans="1:1" s="90" customFormat="1">
      <c r="A1902" s="123"/>
    </row>
    <row r="1903" spans="1:1" s="90" customFormat="1">
      <c r="A1903" s="123"/>
    </row>
    <row r="1904" spans="1:1" s="90" customFormat="1">
      <c r="A1904" s="123"/>
    </row>
    <row r="1905" spans="1:1" s="90" customFormat="1">
      <c r="A1905" s="123"/>
    </row>
    <row r="1906" spans="1:1" s="90" customFormat="1">
      <c r="A1906" s="123"/>
    </row>
    <row r="1907" spans="1:1" s="90" customFormat="1">
      <c r="A1907" s="123"/>
    </row>
    <row r="1908" spans="1:1" s="90" customFormat="1">
      <c r="A1908" s="123"/>
    </row>
    <row r="1909" spans="1:1" s="90" customFormat="1">
      <c r="A1909" s="123"/>
    </row>
    <row r="1910" spans="1:1" s="90" customFormat="1">
      <c r="A1910" s="123"/>
    </row>
    <row r="1911" spans="1:1" s="90" customFormat="1">
      <c r="A1911" s="123"/>
    </row>
    <row r="1912" spans="1:1" s="90" customFormat="1">
      <c r="A1912" s="123"/>
    </row>
    <row r="1913" spans="1:1" s="90" customFormat="1">
      <c r="A1913" s="123"/>
    </row>
    <row r="1914" spans="1:1" s="90" customFormat="1">
      <c r="A1914" s="123"/>
    </row>
    <row r="1915" spans="1:1" s="90" customFormat="1">
      <c r="A1915" s="123"/>
    </row>
    <row r="1916" spans="1:1" s="90" customFormat="1">
      <c r="A1916" s="123"/>
    </row>
    <row r="1917" spans="1:1" s="90" customFormat="1">
      <c r="A1917" s="123"/>
    </row>
    <row r="1918" spans="1:1" s="90" customFormat="1">
      <c r="A1918" s="123"/>
    </row>
    <row r="1919" spans="1:1" s="90" customFormat="1">
      <c r="A1919" s="123"/>
    </row>
    <row r="1920" spans="1:1" s="90" customFormat="1">
      <c r="A1920" s="123"/>
    </row>
    <row r="1921" spans="1:1" s="90" customFormat="1">
      <c r="A1921" s="123"/>
    </row>
    <row r="1922" spans="1:1" s="90" customFormat="1">
      <c r="A1922" s="123"/>
    </row>
    <row r="1923" spans="1:1" s="90" customFormat="1">
      <c r="A1923" s="123"/>
    </row>
    <row r="1924" spans="1:1" s="90" customFormat="1">
      <c r="A1924" s="123"/>
    </row>
    <row r="1925" spans="1:1" s="90" customFormat="1">
      <c r="A1925" s="123"/>
    </row>
    <row r="1926" spans="1:1" s="90" customFormat="1">
      <c r="A1926" s="123"/>
    </row>
    <row r="1927" spans="1:1" s="90" customFormat="1">
      <c r="A1927" s="123"/>
    </row>
    <row r="1928" spans="1:1" s="90" customFormat="1">
      <c r="A1928" s="123"/>
    </row>
    <row r="1929" spans="1:1" s="90" customFormat="1">
      <c r="A1929" s="123"/>
    </row>
    <row r="1930" spans="1:1" s="90" customFormat="1">
      <c r="A1930" s="123"/>
    </row>
    <row r="1931" spans="1:1" s="90" customFormat="1">
      <c r="A1931" s="123"/>
    </row>
    <row r="1932" spans="1:1" s="90" customFormat="1">
      <c r="A1932" s="123"/>
    </row>
    <row r="1933" spans="1:1" s="90" customFormat="1">
      <c r="A1933" s="123"/>
    </row>
    <row r="1934" spans="1:1" s="90" customFormat="1">
      <c r="A1934" s="123"/>
    </row>
    <row r="1935" spans="1:1" s="90" customFormat="1">
      <c r="A1935" s="123"/>
    </row>
    <row r="1936" spans="1:1" s="90" customFormat="1">
      <c r="A1936" s="123"/>
    </row>
    <row r="1937" spans="1:1" s="90" customFormat="1">
      <c r="A1937" s="123"/>
    </row>
    <row r="1938" spans="1:1" s="90" customFormat="1">
      <c r="A1938" s="123"/>
    </row>
    <row r="1939" spans="1:1" s="90" customFormat="1">
      <c r="A1939" s="123"/>
    </row>
    <row r="1940" spans="1:1" s="90" customFormat="1">
      <c r="A1940" s="123"/>
    </row>
    <row r="1941" spans="1:1" s="90" customFormat="1">
      <c r="A1941" s="123"/>
    </row>
    <row r="1942" spans="1:1" s="90" customFormat="1">
      <c r="A1942" s="123"/>
    </row>
    <row r="1943" spans="1:1" s="90" customFormat="1">
      <c r="A1943" s="123"/>
    </row>
    <row r="1944" spans="1:1" s="90" customFormat="1">
      <c r="A1944" s="123"/>
    </row>
    <row r="1945" spans="1:1" s="90" customFormat="1">
      <c r="A1945" s="123"/>
    </row>
    <row r="1946" spans="1:1" s="90" customFormat="1">
      <c r="A1946" s="123"/>
    </row>
    <row r="1947" spans="1:1" s="90" customFormat="1">
      <c r="A1947" s="123"/>
    </row>
    <row r="1948" spans="1:1" s="90" customFormat="1">
      <c r="A1948" s="123"/>
    </row>
    <row r="1949" spans="1:1" s="90" customFormat="1">
      <c r="A1949" s="123"/>
    </row>
    <row r="1950" spans="1:1" s="90" customFormat="1">
      <c r="A1950" s="123"/>
    </row>
    <row r="1951" spans="1:1" s="90" customFormat="1">
      <c r="A1951" s="123"/>
    </row>
    <row r="1952" spans="1:1" s="90" customFormat="1">
      <c r="A1952" s="123"/>
    </row>
    <row r="1953" spans="1:1" s="90" customFormat="1">
      <c r="A1953" s="123"/>
    </row>
    <row r="1954" spans="1:1" s="90" customFormat="1">
      <c r="A1954" s="123"/>
    </row>
    <row r="1955" spans="1:1" s="90" customFormat="1">
      <c r="A1955" s="123"/>
    </row>
    <row r="1956" spans="1:1" s="90" customFormat="1">
      <c r="A1956" s="123"/>
    </row>
    <row r="1957" spans="1:1" s="90" customFormat="1">
      <c r="A1957" s="123"/>
    </row>
    <row r="1958" spans="1:1" s="90" customFormat="1">
      <c r="A1958" s="123"/>
    </row>
    <row r="1959" spans="1:1" s="90" customFormat="1">
      <c r="A1959" s="123"/>
    </row>
    <row r="1960" spans="1:1" s="90" customFormat="1">
      <c r="A1960" s="123"/>
    </row>
    <row r="1961" spans="1:1" s="90" customFormat="1">
      <c r="A1961" s="123"/>
    </row>
    <row r="1962" spans="1:1" s="90" customFormat="1">
      <c r="A1962" s="123"/>
    </row>
    <row r="1963" spans="1:1" s="90" customFormat="1">
      <c r="A1963" s="123"/>
    </row>
    <row r="1964" spans="1:1" s="90" customFormat="1">
      <c r="A1964" s="123"/>
    </row>
    <row r="1965" spans="1:1" s="90" customFormat="1">
      <c r="A1965" s="123"/>
    </row>
    <row r="1966" spans="1:1" s="90" customFormat="1">
      <c r="A1966" s="123"/>
    </row>
    <row r="1967" spans="1:1" s="90" customFormat="1">
      <c r="A1967" s="123"/>
    </row>
    <row r="1968" spans="1:1" s="90" customFormat="1">
      <c r="A1968" s="123"/>
    </row>
    <row r="1969" spans="1:1" s="90" customFormat="1">
      <c r="A1969" s="123"/>
    </row>
    <row r="1970" spans="1:1" s="90" customFormat="1">
      <c r="A1970" s="123"/>
    </row>
    <row r="1971" spans="1:1" s="90" customFormat="1">
      <c r="A1971" s="123"/>
    </row>
    <row r="1972" spans="1:1" s="90" customFormat="1">
      <c r="A1972" s="123"/>
    </row>
    <row r="1973" spans="1:1" s="90" customFormat="1">
      <c r="A1973" s="123"/>
    </row>
    <row r="1974" spans="1:1" s="90" customFormat="1">
      <c r="A1974" s="123"/>
    </row>
    <row r="1975" spans="1:1" s="90" customFormat="1">
      <c r="A1975" s="123"/>
    </row>
    <row r="1976" spans="1:1" s="90" customFormat="1">
      <c r="A1976" s="123"/>
    </row>
    <row r="1977" spans="1:1" s="90" customFormat="1">
      <c r="A1977" s="123"/>
    </row>
    <row r="1978" spans="1:1" s="90" customFormat="1">
      <c r="A1978" s="123"/>
    </row>
    <row r="1979" spans="1:1" s="90" customFormat="1">
      <c r="A1979" s="123"/>
    </row>
    <row r="1980" spans="1:1" s="90" customFormat="1">
      <c r="A1980" s="123"/>
    </row>
    <row r="1981" spans="1:1" s="90" customFormat="1">
      <c r="A1981" s="123"/>
    </row>
    <row r="1982" spans="1:1" s="90" customFormat="1">
      <c r="A1982" s="123"/>
    </row>
    <row r="1983" spans="1:1" s="90" customFormat="1">
      <c r="A1983" s="123"/>
    </row>
    <row r="1984" spans="1:1" s="90" customFormat="1">
      <c r="A1984" s="123"/>
    </row>
    <row r="1985" spans="1:1" s="90" customFormat="1">
      <c r="A1985" s="123"/>
    </row>
    <row r="1986" spans="1:1" s="90" customFormat="1">
      <c r="A1986" s="123"/>
    </row>
    <row r="1987" spans="1:1" s="90" customFormat="1">
      <c r="A1987" s="123"/>
    </row>
    <row r="1988" spans="1:1" s="90" customFormat="1">
      <c r="A1988" s="123"/>
    </row>
    <row r="1989" spans="1:1" s="90" customFormat="1">
      <c r="A1989" s="123"/>
    </row>
    <row r="1990" spans="1:1" s="90" customFormat="1">
      <c r="A1990" s="123"/>
    </row>
    <row r="1991" spans="1:1" s="90" customFormat="1">
      <c r="A1991" s="123"/>
    </row>
    <row r="1992" spans="1:1" s="90" customFormat="1">
      <c r="A1992" s="123"/>
    </row>
    <row r="1993" spans="1:1" s="90" customFormat="1">
      <c r="A1993" s="123"/>
    </row>
    <row r="1994" spans="1:1" s="90" customFormat="1">
      <c r="A1994" s="123"/>
    </row>
    <row r="1995" spans="1:1" s="90" customFormat="1">
      <c r="A1995" s="123"/>
    </row>
    <row r="1996" spans="1:1" s="90" customFormat="1">
      <c r="A1996" s="123"/>
    </row>
    <row r="1997" spans="1:1" s="90" customFormat="1">
      <c r="A1997" s="123"/>
    </row>
    <row r="1998" spans="1:1" s="90" customFormat="1">
      <c r="A1998" s="123"/>
    </row>
    <row r="1999" spans="1:1" s="90" customFormat="1">
      <c r="A1999" s="123"/>
    </row>
    <row r="2000" spans="1:1" s="90" customFormat="1">
      <c r="A2000" s="123"/>
    </row>
    <row r="2001" spans="1:1" s="90" customFormat="1">
      <c r="A2001" s="123"/>
    </row>
    <row r="2002" spans="1:1" s="90" customFormat="1">
      <c r="A2002" s="123"/>
    </row>
    <row r="2003" spans="1:1" s="90" customFormat="1">
      <c r="A2003" s="123"/>
    </row>
    <row r="2004" spans="1:1" s="90" customFormat="1">
      <c r="A2004" s="123"/>
    </row>
    <row r="2005" spans="1:1" s="90" customFormat="1">
      <c r="A2005" s="123"/>
    </row>
    <row r="2006" spans="1:1" s="90" customFormat="1">
      <c r="A2006" s="123"/>
    </row>
    <row r="2007" spans="1:1" s="90" customFormat="1">
      <c r="A2007" s="123"/>
    </row>
    <row r="2008" spans="1:1" s="90" customFormat="1">
      <c r="A2008" s="123"/>
    </row>
    <row r="2009" spans="1:1" s="90" customFormat="1">
      <c r="A2009" s="123"/>
    </row>
    <row r="2010" spans="1:1" s="90" customFormat="1">
      <c r="A2010" s="123"/>
    </row>
    <row r="2011" spans="1:1" s="90" customFormat="1">
      <c r="A2011" s="123"/>
    </row>
    <row r="2012" spans="1:1" s="90" customFormat="1">
      <c r="A2012" s="123"/>
    </row>
    <row r="2013" spans="1:1" s="90" customFormat="1">
      <c r="A2013" s="123"/>
    </row>
    <row r="2014" spans="1:1" s="90" customFormat="1">
      <c r="A2014" s="123"/>
    </row>
    <row r="2015" spans="1:1" s="90" customFormat="1">
      <c r="A2015" s="123"/>
    </row>
    <row r="2016" spans="1:1" s="90" customFormat="1">
      <c r="A2016" s="123"/>
    </row>
    <row r="2017" spans="1:1" s="90" customFormat="1">
      <c r="A2017" s="123"/>
    </row>
    <row r="2018" spans="1:1" s="90" customFormat="1">
      <c r="A2018" s="123"/>
    </row>
    <row r="2019" spans="1:1" s="90" customFormat="1">
      <c r="A2019" s="123"/>
    </row>
    <row r="2020" spans="1:1" s="90" customFormat="1">
      <c r="A2020" s="123"/>
    </row>
    <row r="2021" spans="1:1" s="90" customFormat="1">
      <c r="A2021" s="123"/>
    </row>
    <row r="2022" spans="1:1" s="90" customFormat="1">
      <c r="A2022" s="123"/>
    </row>
    <row r="2023" spans="1:1" s="90" customFormat="1">
      <c r="A2023" s="123"/>
    </row>
    <row r="2024" spans="1:1" s="90" customFormat="1">
      <c r="A2024" s="123"/>
    </row>
    <row r="2025" spans="1:1" s="90" customFormat="1">
      <c r="A2025" s="123"/>
    </row>
    <row r="2026" spans="1:1" s="90" customFormat="1">
      <c r="A2026" s="123"/>
    </row>
    <row r="2027" spans="1:1" s="90" customFormat="1">
      <c r="A2027" s="123"/>
    </row>
    <row r="2028" spans="1:1" s="90" customFormat="1">
      <c r="A2028" s="123"/>
    </row>
    <row r="2029" spans="1:1" s="90" customFormat="1">
      <c r="A2029" s="123"/>
    </row>
    <row r="2030" spans="1:1" s="90" customFormat="1">
      <c r="A2030" s="123"/>
    </row>
    <row r="2031" spans="1:1" s="90" customFormat="1">
      <c r="A2031" s="123"/>
    </row>
    <row r="2032" spans="1:1" s="90" customFormat="1">
      <c r="A2032" s="123"/>
    </row>
    <row r="2033" spans="1:1" s="90" customFormat="1">
      <c r="A2033" s="123"/>
    </row>
    <row r="2034" spans="1:1" s="90" customFormat="1">
      <c r="A2034" s="123"/>
    </row>
    <row r="2035" spans="1:1" s="90" customFormat="1">
      <c r="A2035" s="123"/>
    </row>
    <row r="2036" spans="1:1" s="90" customFormat="1">
      <c r="A2036" s="123"/>
    </row>
    <row r="2037" spans="1:1" s="90" customFormat="1">
      <c r="A2037" s="123"/>
    </row>
    <row r="2038" spans="1:1" s="90" customFormat="1">
      <c r="A2038" s="123"/>
    </row>
    <row r="2039" spans="1:1" s="90" customFormat="1">
      <c r="A2039" s="123"/>
    </row>
    <row r="2040" spans="1:1" s="90" customFormat="1">
      <c r="A2040" s="123"/>
    </row>
    <row r="2041" spans="1:1" s="90" customFormat="1">
      <c r="A2041" s="123"/>
    </row>
    <row r="2042" spans="1:1" s="90" customFormat="1">
      <c r="A2042" s="123"/>
    </row>
    <row r="2043" spans="1:1" s="90" customFormat="1">
      <c r="A2043" s="123"/>
    </row>
    <row r="2044" spans="1:1" s="90" customFormat="1">
      <c r="A2044" s="123"/>
    </row>
    <row r="2045" spans="1:1" s="90" customFormat="1">
      <c r="A2045" s="123"/>
    </row>
    <row r="2046" spans="1:1" s="90" customFormat="1">
      <c r="A2046" s="123"/>
    </row>
    <row r="2047" spans="1:1" s="90" customFormat="1">
      <c r="A2047" s="123"/>
    </row>
    <row r="2048" spans="1:1" s="90" customFormat="1">
      <c r="A2048" s="123"/>
    </row>
    <row r="2049" spans="1:1" s="90" customFormat="1">
      <c r="A2049" s="123"/>
    </row>
    <row r="2050" spans="1:1" s="90" customFormat="1">
      <c r="A2050" s="123"/>
    </row>
    <row r="2051" spans="1:1" s="90" customFormat="1">
      <c r="A2051" s="123"/>
    </row>
    <row r="2052" spans="1:1" s="90" customFormat="1">
      <c r="A2052" s="123"/>
    </row>
    <row r="2053" spans="1:1" s="90" customFormat="1">
      <c r="A2053" s="123"/>
    </row>
    <row r="2054" spans="1:1" s="90" customFormat="1">
      <c r="A2054" s="123"/>
    </row>
    <row r="2055" spans="1:1" s="90" customFormat="1">
      <c r="A2055" s="123"/>
    </row>
    <row r="2056" spans="1:1" s="90" customFormat="1">
      <c r="A2056" s="123"/>
    </row>
    <row r="2057" spans="1:1" s="90" customFormat="1">
      <c r="A2057" s="123"/>
    </row>
    <row r="2058" spans="1:1" s="90" customFormat="1">
      <c r="A2058" s="123"/>
    </row>
    <row r="2059" spans="1:1" s="90" customFormat="1">
      <c r="A2059" s="123"/>
    </row>
    <row r="2060" spans="1:1" s="90" customFormat="1">
      <c r="A2060" s="123"/>
    </row>
    <row r="2061" spans="1:1" s="90" customFormat="1">
      <c r="A2061" s="123"/>
    </row>
    <row r="2062" spans="1:1" s="90" customFormat="1">
      <c r="A2062" s="123"/>
    </row>
    <row r="2063" spans="1:1" s="90" customFormat="1">
      <c r="A2063" s="123"/>
    </row>
    <row r="2064" spans="1:1" s="90" customFormat="1">
      <c r="A2064" s="123"/>
    </row>
    <row r="2065" spans="1:1" s="90" customFormat="1">
      <c r="A2065" s="123"/>
    </row>
    <row r="2066" spans="1:1" s="90" customFormat="1">
      <c r="A2066" s="123"/>
    </row>
    <row r="2067" spans="1:1" s="90" customFormat="1">
      <c r="A2067" s="123"/>
    </row>
    <row r="2068" spans="1:1" s="90" customFormat="1">
      <c r="A2068" s="123"/>
    </row>
    <row r="2069" spans="1:1" s="90" customFormat="1">
      <c r="A2069" s="123"/>
    </row>
    <row r="2070" spans="1:1" s="90" customFormat="1">
      <c r="A2070" s="123"/>
    </row>
    <row r="2071" spans="1:1" s="90" customFormat="1">
      <c r="A2071" s="123"/>
    </row>
    <row r="2072" spans="1:1" s="90" customFormat="1">
      <c r="A2072" s="123"/>
    </row>
    <row r="2073" spans="1:1" s="90" customFormat="1">
      <c r="A2073" s="123"/>
    </row>
    <row r="2074" spans="1:1" s="90" customFormat="1">
      <c r="A2074" s="123"/>
    </row>
    <row r="2075" spans="1:1" s="90" customFormat="1">
      <c r="A2075" s="123"/>
    </row>
    <row r="2076" spans="1:1" s="90" customFormat="1">
      <c r="A2076" s="123"/>
    </row>
    <row r="2077" spans="1:1" s="90" customFormat="1">
      <c r="A2077" s="123"/>
    </row>
    <row r="2078" spans="1:1" s="90" customFormat="1">
      <c r="A2078" s="123"/>
    </row>
    <row r="2079" spans="1:1" s="90" customFormat="1">
      <c r="A2079" s="123"/>
    </row>
    <row r="2080" spans="1:1" s="90" customFormat="1">
      <c r="A2080" s="123"/>
    </row>
    <row r="2081" spans="1:1" s="90" customFormat="1">
      <c r="A2081" s="123"/>
    </row>
    <row r="2082" spans="1:1" s="90" customFormat="1">
      <c r="A2082" s="123"/>
    </row>
    <row r="2083" spans="1:1" s="90" customFormat="1">
      <c r="A2083" s="123"/>
    </row>
    <row r="2084" spans="1:1" s="90" customFormat="1">
      <c r="A2084" s="123"/>
    </row>
    <row r="2085" spans="1:1" s="90" customFormat="1">
      <c r="A2085" s="123"/>
    </row>
    <row r="2086" spans="1:1" s="90" customFormat="1">
      <c r="A2086" s="123"/>
    </row>
    <row r="2087" spans="1:1" s="90" customFormat="1">
      <c r="A2087" s="123"/>
    </row>
    <row r="2088" spans="1:1" s="90" customFormat="1">
      <c r="A2088" s="123"/>
    </row>
    <row r="2089" spans="1:1" s="90" customFormat="1">
      <c r="A2089" s="123"/>
    </row>
    <row r="2090" spans="1:1" s="90" customFormat="1">
      <c r="A2090" s="123"/>
    </row>
    <row r="2091" spans="1:1" s="90" customFormat="1">
      <c r="A2091" s="123"/>
    </row>
    <row r="2092" spans="1:1" s="90" customFormat="1">
      <c r="A2092" s="123"/>
    </row>
    <row r="2093" spans="1:1" s="90" customFormat="1">
      <c r="A2093" s="123"/>
    </row>
    <row r="2094" spans="1:1" s="90" customFormat="1">
      <c r="A2094" s="123"/>
    </row>
    <row r="2095" spans="1:1" s="90" customFormat="1">
      <c r="A2095" s="123"/>
    </row>
    <row r="2096" spans="1:1" s="90" customFormat="1">
      <c r="A2096" s="123"/>
    </row>
    <row r="2097" spans="1:1" s="90" customFormat="1">
      <c r="A2097" s="123"/>
    </row>
    <row r="2098" spans="1:1" s="90" customFormat="1">
      <c r="A2098" s="123"/>
    </row>
    <row r="2099" spans="1:1" s="90" customFormat="1">
      <c r="A2099" s="123"/>
    </row>
    <row r="2100" spans="1:1" s="90" customFormat="1">
      <c r="A2100" s="123"/>
    </row>
    <row r="2101" spans="1:1" s="90" customFormat="1">
      <c r="A2101" s="123"/>
    </row>
    <row r="2102" spans="1:1" s="90" customFormat="1">
      <c r="A2102" s="123"/>
    </row>
    <row r="2103" spans="1:1" s="90" customFormat="1">
      <c r="A2103" s="123"/>
    </row>
    <row r="2104" spans="1:1" s="90" customFormat="1">
      <c r="A2104" s="123"/>
    </row>
    <row r="2105" spans="1:1" s="90" customFormat="1">
      <c r="A2105" s="123"/>
    </row>
    <row r="2106" spans="1:1" s="90" customFormat="1">
      <c r="A2106" s="123"/>
    </row>
    <row r="2107" spans="1:1" s="90" customFormat="1">
      <c r="A2107" s="123"/>
    </row>
    <row r="2108" spans="1:1" s="90" customFormat="1">
      <c r="A2108" s="123"/>
    </row>
    <row r="2109" spans="1:1" s="90" customFormat="1">
      <c r="A2109" s="123"/>
    </row>
    <row r="2110" spans="1:1" s="90" customFormat="1">
      <c r="A2110" s="123"/>
    </row>
    <row r="2111" spans="1:1" s="90" customFormat="1">
      <c r="A2111" s="123"/>
    </row>
    <row r="2112" spans="1:1" s="90" customFormat="1">
      <c r="A2112" s="123"/>
    </row>
    <row r="2113" spans="1:1" s="90" customFormat="1">
      <c r="A2113" s="123"/>
    </row>
    <row r="2114" spans="1:1" s="90" customFormat="1">
      <c r="A2114" s="123"/>
    </row>
    <row r="2115" spans="1:1" s="90" customFormat="1">
      <c r="A2115" s="123"/>
    </row>
    <row r="2116" spans="1:1" s="90" customFormat="1">
      <c r="A2116" s="123"/>
    </row>
    <row r="2117" spans="1:1" s="90" customFormat="1">
      <c r="A2117" s="123"/>
    </row>
    <row r="2118" spans="1:1" s="90" customFormat="1">
      <c r="A2118" s="123"/>
    </row>
    <row r="2119" spans="1:1" s="90" customFormat="1">
      <c r="A2119" s="123"/>
    </row>
    <row r="2120" spans="1:1" s="90" customFormat="1">
      <c r="A2120" s="123"/>
    </row>
    <row r="2121" spans="1:1" s="90" customFormat="1">
      <c r="A2121" s="123"/>
    </row>
    <row r="2122" spans="1:1" s="90" customFormat="1">
      <c r="A2122" s="123"/>
    </row>
    <row r="2123" spans="1:1" s="90" customFormat="1">
      <c r="A2123" s="123"/>
    </row>
    <row r="2124" spans="1:1" s="90" customFormat="1">
      <c r="A2124" s="123"/>
    </row>
    <row r="2125" spans="1:1" s="90" customFormat="1">
      <c r="A2125" s="123"/>
    </row>
    <row r="2126" spans="1:1" s="90" customFormat="1">
      <c r="A2126" s="123"/>
    </row>
    <row r="2127" spans="1:1" s="90" customFormat="1">
      <c r="A2127" s="123"/>
    </row>
    <row r="2128" spans="1:1" s="90" customFormat="1">
      <c r="A2128" s="123"/>
    </row>
    <row r="2129" spans="1:1" s="90" customFormat="1">
      <c r="A2129" s="123"/>
    </row>
    <row r="2130" spans="1:1" s="90" customFormat="1">
      <c r="A2130" s="123"/>
    </row>
    <row r="2131" spans="1:1" s="90" customFormat="1">
      <c r="A2131" s="123"/>
    </row>
    <row r="2132" spans="1:1" s="90" customFormat="1">
      <c r="A2132" s="123"/>
    </row>
    <row r="2133" spans="1:1" s="90" customFormat="1">
      <c r="A2133" s="123"/>
    </row>
    <row r="2134" spans="1:1" s="90" customFormat="1">
      <c r="A2134" s="123"/>
    </row>
    <row r="2135" spans="1:1" s="90" customFormat="1">
      <c r="A2135" s="123"/>
    </row>
    <row r="2136" spans="1:1" s="90" customFormat="1">
      <c r="A2136" s="123"/>
    </row>
    <row r="2137" spans="1:1" s="90" customFormat="1">
      <c r="A2137" s="123"/>
    </row>
    <row r="2138" spans="1:1" s="90" customFormat="1">
      <c r="A2138" s="123"/>
    </row>
    <row r="2139" spans="1:1" s="90" customFormat="1">
      <c r="A2139" s="123"/>
    </row>
    <row r="2140" spans="1:1" s="90" customFormat="1">
      <c r="A2140" s="123"/>
    </row>
    <row r="2141" spans="1:1" s="90" customFormat="1">
      <c r="A2141" s="123"/>
    </row>
    <row r="2142" spans="1:1" s="90" customFormat="1">
      <c r="A2142" s="123"/>
    </row>
    <row r="2143" spans="1:1" s="90" customFormat="1">
      <c r="A2143" s="123"/>
    </row>
    <row r="2144" spans="1:1" s="90" customFormat="1">
      <c r="A2144" s="123"/>
    </row>
    <row r="2145" spans="1:1" s="90" customFormat="1">
      <c r="A2145" s="123"/>
    </row>
    <row r="2146" spans="1:1" s="90" customFormat="1">
      <c r="A2146" s="123"/>
    </row>
    <row r="2147" spans="1:1" s="90" customFormat="1">
      <c r="A2147" s="123"/>
    </row>
    <row r="2148" spans="1:1" s="90" customFormat="1">
      <c r="A2148" s="123"/>
    </row>
    <row r="2149" spans="1:1" s="90" customFormat="1">
      <c r="A2149" s="123"/>
    </row>
    <row r="2150" spans="1:1" s="90" customFormat="1">
      <c r="A2150" s="123"/>
    </row>
    <row r="2151" spans="1:1" s="90" customFormat="1">
      <c r="A2151" s="123"/>
    </row>
    <row r="2152" spans="1:1" s="90" customFormat="1">
      <c r="A2152" s="123"/>
    </row>
    <row r="2153" spans="1:1" s="90" customFormat="1">
      <c r="A2153" s="123"/>
    </row>
    <row r="2154" spans="1:1" s="90" customFormat="1">
      <c r="A2154" s="123"/>
    </row>
    <row r="2155" spans="1:1" s="90" customFormat="1">
      <c r="A2155" s="123"/>
    </row>
    <row r="2156" spans="1:1" s="90" customFormat="1">
      <c r="A2156" s="123"/>
    </row>
    <row r="2157" spans="1:1" s="90" customFormat="1">
      <c r="A2157" s="123"/>
    </row>
    <row r="2158" spans="1:1" s="90" customFormat="1">
      <c r="A2158" s="123"/>
    </row>
    <row r="2159" spans="1:1" s="90" customFormat="1">
      <c r="A2159" s="123"/>
    </row>
    <row r="2160" spans="1:1" s="90" customFormat="1">
      <c r="A2160" s="123"/>
    </row>
    <row r="2161" spans="1:1" s="90" customFormat="1">
      <c r="A2161" s="123"/>
    </row>
    <row r="2162" spans="1:1" s="90" customFormat="1">
      <c r="A2162" s="123"/>
    </row>
    <row r="2163" spans="1:1" s="90" customFormat="1">
      <c r="A2163" s="123"/>
    </row>
    <row r="2164" spans="1:1" s="90" customFormat="1">
      <c r="A2164" s="123"/>
    </row>
    <row r="2165" spans="1:1" s="90" customFormat="1">
      <c r="A2165" s="123"/>
    </row>
    <row r="2166" spans="1:1" s="90" customFormat="1">
      <c r="A2166" s="123"/>
    </row>
    <row r="2167" spans="1:1" s="90" customFormat="1">
      <c r="A2167" s="123"/>
    </row>
    <row r="2168" spans="1:1" s="90" customFormat="1">
      <c r="A2168" s="123"/>
    </row>
    <row r="2169" spans="1:1" s="90" customFormat="1">
      <c r="A2169" s="123"/>
    </row>
    <row r="2170" spans="1:1" s="90" customFormat="1">
      <c r="A2170" s="123"/>
    </row>
    <row r="2171" spans="1:1" s="90" customFormat="1">
      <c r="A2171" s="123"/>
    </row>
    <row r="2172" spans="1:1" s="90" customFormat="1">
      <c r="A2172" s="123"/>
    </row>
    <row r="2173" spans="1:1" s="90" customFormat="1">
      <c r="A2173" s="123"/>
    </row>
    <row r="2174" spans="1:1" s="90" customFormat="1">
      <c r="A2174" s="123"/>
    </row>
    <row r="2175" spans="1:1" s="90" customFormat="1">
      <c r="A2175" s="123"/>
    </row>
    <row r="2176" spans="1:1" s="90" customFormat="1">
      <c r="A2176" s="123"/>
    </row>
    <row r="2177" spans="1:1" s="90" customFormat="1">
      <c r="A2177" s="123"/>
    </row>
    <row r="2178" spans="1:1" s="90" customFormat="1">
      <c r="A2178" s="123"/>
    </row>
    <row r="2179" spans="1:1" s="90" customFormat="1">
      <c r="A2179" s="123"/>
    </row>
    <row r="2180" spans="1:1" s="90" customFormat="1">
      <c r="A2180" s="123"/>
    </row>
    <row r="2181" spans="1:1" s="90" customFormat="1">
      <c r="A2181" s="123"/>
    </row>
    <row r="2182" spans="1:1" s="90" customFormat="1">
      <c r="A2182" s="123"/>
    </row>
    <row r="2183" spans="1:1" s="90" customFormat="1">
      <c r="A2183" s="123"/>
    </row>
    <row r="2184" spans="1:1" s="90" customFormat="1">
      <c r="A2184" s="123"/>
    </row>
    <row r="2185" spans="1:1" s="90" customFormat="1">
      <c r="A2185" s="123"/>
    </row>
    <row r="2186" spans="1:1" s="90" customFormat="1">
      <c r="A2186" s="123"/>
    </row>
    <row r="2187" spans="1:1" s="90" customFormat="1">
      <c r="A2187" s="123"/>
    </row>
    <row r="2188" spans="1:1" s="90" customFormat="1">
      <c r="A2188" s="123"/>
    </row>
    <row r="2189" spans="1:1" s="90" customFormat="1">
      <c r="A2189" s="123"/>
    </row>
    <row r="2190" spans="1:1" s="90" customFormat="1">
      <c r="A2190" s="123"/>
    </row>
    <row r="2191" spans="1:1" s="90" customFormat="1">
      <c r="A2191" s="123"/>
    </row>
    <row r="2192" spans="1:1" s="90" customFormat="1">
      <c r="A2192" s="123"/>
    </row>
    <row r="2193" spans="1:1" s="90" customFormat="1">
      <c r="A2193" s="123"/>
    </row>
    <row r="2194" spans="1:1" s="90" customFormat="1">
      <c r="A2194" s="123"/>
    </row>
    <row r="2195" spans="1:1" s="90" customFormat="1">
      <c r="A2195" s="123"/>
    </row>
    <row r="2196" spans="1:1" s="90" customFormat="1">
      <c r="A2196" s="123"/>
    </row>
    <row r="2197" spans="1:1" s="90" customFormat="1">
      <c r="A2197" s="123"/>
    </row>
    <row r="2198" spans="1:1" s="90" customFormat="1">
      <c r="A2198" s="123"/>
    </row>
    <row r="2199" spans="1:1" s="90" customFormat="1">
      <c r="A2199" s="123"/>
    </row>
    <row r="2200" spans="1:1" s="90" customFormat="1">
      <c r="A2200" s="123"/>
    </row>
    <row r="2201" spans="1:1" s="90" customFormat="1">
      <c r="A2201" s="123"/>
    </row>
    <row r="2202" spans="1:1" s="90" customFormat="1">
      <c r="A2202" s="123"/>
    </row>
    <row r="2203" spans="1:1" s="90" customFormat="1">
      <c r="A2203" s="123"/>
    </row>
    <row r="2204" spans="1:1" s="90" customFormat="1">
      <c r="A2204" s="123"/>
    </row>
    <row r="2205" spans="1:1" s="90" customFormat="1">
      <c r="A2205" s="123"/>
    </row>
    <row r="2206" spans="1:1" s="90" customFormat="1">
      <c r="A2206" s="123"/>
    </row>
    <row r="2207" spans="1:1" s="90" customFormat="1">
      <c r="A2207" s="123"/>
    </row>
    <row r="2208" spans="1:1" s="90" customFormat="1">
      <c r="A2208" s="123"/>
    </row>
    <row r="2209" spans="1:1" s="90" customFormat="1">
      <c r="A2209" s="123"/>
    </row>
    <row r="2210" spans="1:1" s="90" customFormat="1">
      <c r="A2210" s="123"/>
    </row>
    <row r="2211" spans="1:1" s="90" customFormat="1">
      <c r="A2211" s="123"/>
    </row>
    <row r="2212" spans="1:1" s="90" customFormat="1">
      <c r="A2212" s="123"/>
    </row>
    <row r="2213" spans="1:1" s="90" customFormat="1">
      <c r="A2213" s="123"/>
    </row>
    <row r="2214" spans="1:1" s="90" customFormat="1">
      <c r="A2214" s="123"/>
    </row>
    <row r="2215" spans="1:1" s="90" customFormat="1">
      <c r="A2215" s="123"/>
    </row>
    <row r="2216" spans="1:1" s="90" customFormat="1">
      <c r="A2216" s="123"/>
    </row>
    <row r="2217" spans="1:1" s="90" customFormat="1">
      <c r="A2217" s="123"/>
    </row>
    <row r="2218" spans="1:1" s="90" customFormat="1">
      <c r="A2218" s="123"/>
    </row>
    <row r="2219" spans="1:1" s="90" customFormat="1">
      <c r="A2219" s="123"/>
    </row>
    <row r="2220" spans="1:1" s="90" customFormat="1">
      <c r="A2220" s="123"/>
    </row>
    <row r="2221" spans="1:1" s="90" customFormat="1">
      <c r="A2221" s="123"/>
    </row>
    <row r="2222" spans="1:1" s="90" customFormat="1">
      <c r="A2222" s="123"/>
    </row>
    <row r="2223" spans="1:1" s="90" customFormat="1">
      <c r="A2223" s="123"/>
    </row>
    <row r="2224" spans="1:1" s="90" customFormat="1">
      <c r="A2224" s="123"/>
    </row>
    <row r="2225" spans="1:1" s="90" customFormat="1">
      <c r="A2225" s="123"/>
    </row>
    <row r="2226" spans="1:1" s="90" customFormat="1">
      <c r="A2226" s="123"/>
    </row>
    <row r="2227" spans="1:1" s="90" customFormat="1">
      <c r="A2227" s="123"/>
    </row>
    <row r="2228" spans="1:1" s="90" customFormat="1">
      <c r="A2228" s="123"/>
    </row>
    <row r="2229" spans="1:1" s="90" customFormat="1">
      <c r="A2229" s="123"/>
    </row>
    <row r="2230" spans="1:1" s="90" customFormat="1">
      <c r="A2230" s="123"/>
    </row>
    <row r="2231" spans="1:1" s="90" customFormat="1">
      <c r="A2231" s="123"/>
    </row>
    <row r="2232" spans="1:1" s="90" customFormat="1">
      <c r="A2232" s="123"/>
    </row>
    <row r="2233" spans="1:1" s="90" customFormat="1">
      <c r="A2233" s="123"/>
    </row>
    <row r="2234" spans="1:1" s="90" customFormat="1">
      <c r="A2234" s="123"/>
    </row>
    <row r="2235" spans="1:1" s="90" customFormat="1">
      <c r="A2235" s="123"/>
    </row>
    <row r="2236" spans="1:1" s="90" customFormat="1">
      <c r="A2236" s="123"/>
    </row>
    <row r="2237" spans="1:1" s="90" customFormat="1">
      <c r="A2237" s="123"/>
    </row>
    <row r="2238" spans="1:1" s="90" customFormat="1">
      <c r="A2238" s="123"/>
    </row>
    <row r="2239" spans="1:1" s="90" customFormat="1">
      <c r="A2239" s="123"/>
    </row>
    <row r="2240" spans="1:1" s="90" customFormat="1">
      <c r="A2240" s="123"/>
    </row>
    <row r="2241" spans="1:1" s="90" customFormat="1">
      <c r="A2241" s="123"/>
    </row>
    <row r="2242" spans="1:1" s="90" customFormat="1">
      <c r="A2242" s="123"/>
    </row>
    <row r="2243" spans="1:1" s="90" customFormat="1">
      <c r="A2243" s="123"/>
    </row>
    <row r="2244" spans="1:1" s="90" customFormat="1">
      <c r="A2244" s="123"/>
    </row>
    <row r="2245" spans="1:1" s="90" customFormat="1">
      <c r="A2245" s="123"/>
    </row>
    <row r="2246" spans="1:1" s="90" customFormat="1">
      <c r="A2246" s="123"/>
    </row>
    <row r="2247" spans="1:1" s="90" customFormat="1">
      <c r="A2247" s="123"/>
    </row>
    <row r="2248" spans="1:1" s="90" customFormat="1">
      <c r="A2248" s="123"/>
    </row>
    <row r="2249" spans="1:1" s="90" customFormat="1">
      <c r="A2249" s="123"/>
    </row>
    <row r="2250" spans="1:1" s="90" customFormat="1">
      <c r="A2250" s="123"/>
    </row>
    <row r="2251" spans="1:1" s="90" customFormat="1">
      <c r="A2251" s="123"/>
    </row>
    <row r="2252" spans="1:1" s="90" customFormat="1">
      <c r="A2252" s="123"/>
    </row>
    <row r="2253" spans="1:1" s="90" customFormat="1">
      <c r="A2253" s="123"/>
    </row>
    <row r="2254" spans="1:1" s="90" customFormat="1">
      <c r="A2254" s="123"/>
    </row>
    <row r="2255" spans="1:1" s="90" customFormat="1">
      <c r="A2255" s="123"/>
    </row>
    <row r="2256" spans="1:1" s="90" customFormat="1">
      <c r="A2256" s="123"/>
    </row>
    <row r="2257" spans="1:1" s="90" customFormat="1">
      <c r="A2257" s="123"/>
    </row>
    <row r="2258" spans="1:1" s="90" customFormat="1">
      <c r="A2258" s="123"/>
    </row>
    <row r="2259" spans="1:1" s="90" customFormat="1">
      <c r="A2259" s="123"/>
    </row>
    <row r="2260" spans="1:1" s="90" customFormat="1">
      <c r="A2260" s="123"/>
    </row>
    <row r="2261" spans="1:1" s="90" customFormat="1">
      <c r="A2261" s="123"/>
    </row>
    <row r="2262" spans="1:1" s="90" customFormat="1">
      <c r="A2262" s="123"/>
    </row>
    <row r="2263" spans="1:1" s="90" customFormat="1">
      <c r="A2263" s="123"/>
    </row>
    <row r="2264" spans="1:1" s="90" customFormat="1">
      <c r="A2264" s="123"/>
    </row>
    <row r="2265" spans="1:1" s="90" customFormat="1">
      <c r="A2265" s="123"/>
    </row>
    <row r="2266" spans="1:1" s="90" customFormat="1">
      <c r="A2266" s="123"/>
    </row>
    <row r="2267" spans="1:1" s="90" customFormat="1">
      <c r="A2267" s="123"/>
    </row>
    <row r="2268" spans="1:1" s="90" customFormat="1">
      <c r="A2268" s="123"/>
    </row>
    <row r="2269" spans="1:1" s="90" customFormat="1">
      <c r="A2269" s="123"/>
    </row>
    <row r="2270" spans="1:1" s="90" customFormat="1">
      <c r="A2270" s="123"/>
    </row>
    <row r="2271" spans="1:1" s="90" customFormat="1">
      <c r="A2271" s="123"/>
    </row>
    <row r="2272" spans="1:1" s="90" customFormat="1">
      <c r="A2272" s="123"/>
    </row>
    <row r="2273" spans="1:1" s="90" customFormat="1">
      <c r="A2273" s="123"/>
    </row>
    <row r="2274" spans="1:1" s="90" customFormat="1">
      <c r="A2274" s="123"/>
    </row>
    <row r="2275" spans="1:1" s="90" customFormat="1">
      <c r="A2275" s="123"/>
    </row>
    <row r="2276" spans="1:1" s="90" customFormat="1">
      <c r="A2276" s="123"/>
    </row>
    <row r="2277" spans="1:1" s="90" customFormat="1">
      <c r="A2277" s="123"/>
    </row>
    <row r="2278" spans="1:1" s="90" customFormat="1">
      <c r="A2278" s="123"/>
    </row>
    <row r="2279" spans="1:1" s="90" customFormat="1">
      <c r="A2279" s="123"/>
    </row>
    <row r="2280" spans="1:1" s="90" customFormat="1">
      <c r="A2280" s="123"/>
    </row>
    <row r="2281" spans="1:1" s="90" customFormat="1">
      <c r="A2281" s="123"/>
    </row>
    <row r="2282" spans="1:1" s="90" customFormat="1">
      <c r="A2282" s="123"/>
    </row>
    <row r="2283" spans="1:1" s="90" customFormat="1">
      <c r="A2283" s="123"/>
    </row>
    <row r="2284" spans="1:1" s="90" customFormat="1">
      <c r="A2284" s="123"/>
    </row>
    <row r="2285" spans="1:1" s="90" customFormat="1">
      <c r="A2285" s="123"/>
    </row>
    <row r="2286" spans="1:1" s="90" customFormat="1">
      <c r="A2286" s="123"/>
    </row>
    <row r="2287" spans="1:1" s="90" customFormat="1">
      <c r="A2287" s="123"/>
    </row>
    <row r="2288" spans="1:1" s="90" customFormat="1">
      <c r="A2288" s="123"/>
    </row>
    <row r="2289" spans="1:1" s="90" customFormat="1">
      <c r="A2289" s="123"/>
    </row>
    <row r="2290" spans="1:1" s="90" customFormat="1">
      <c r="A2290" s="123"/>
    </row>
    <row r="2291" spans="1:1" s="90" customFormat="1">
      <c r="A2291" s="123"/>
    </row>
    <row r="2292" spans="1:1" s="90" customFormat="1">
      <c r="A2292" s="123"/>
    </row>
    <row r="2293" spans="1:1" s="90" customFormat="1">
      <c r="A2293" s="123"/>
    </row>
    <row r="2294" spans="1:1" s="90" customFormat="1">
      <c r="A2294" s="123"/>
    </row>
    <row r="2295" spans="1:1" s="90" customFormat="1">
      <c r="A2295" s="123"/>
    </row>
    <row r="2296" spans="1:1" s="90" customFormat="1">
      <c r="A2296" s="123"/>
    </row>
    <row r="2297" spans="1:1" s="90" customFormat="1">
      <c r="A2297" s="123"/>
    </row>
    <row r="2298" spans="1:1" s="90" customFormat="1">
      <c r="A2298" s="123"/>
    </row>
    <row r="2299" spans="1:1" s="90" customFormat="1">
      <c r="A2299" s="123"/>
    </row>
    <row r="2300" spans="1:1" s="90" customFormat="1">
      <c r="A2300" s="123"/>
    </row>
    <row r="2301" spans="1:1" s="90" customFormat="1">
      <c r="A2301" s="123"/>
    </row>
    <row r="2302" spans="1:1" s="90" customFormat="1">
      <c r="A2302" s="123"/>
    </row>
    <row r="2303" spans="1:1" s="90" customFormat="1">
      <c r="A2303" s="123"/>
    </row>
    <row r="2304" spans="1:1" s="90" customFormat="1">
      <c r="A2304" s="123"/>
    </row>
    <row r="2305" spans="1:1" s="90" customFormat="1">
      <c r="A2305" s="123"/>
    </row>
    <row r="2306" spans="1:1" s="90" customFormat="1">
      <c r="A2306" s="123"/>
    </row>
    <row r="2307" spans="1:1" s="90" customFormat="1">
      <c r="A2307" s="123"/>
    </row>
    <row r="2308" spans="1:1" s="90" customFormat="1">
      <c r="A2308" s="123"/>
    </row>
    <row r="2309" spans="1:1" s="90" customFormat="1">
      <c r="A2309" s="123"/>
    </row>
    <row r="2310" spans="1:1" s="90" customFormat="1">
      <c r="A2310" s="123"/>
    </row>
    <row r="2311" spans="1:1" s="90" customFormat="1">
      <c r="A2311" s="123"/>
    </row>
    <row r="2312" spans="1:1" s="90" customFormat="1">
      <c r="A2312" s="123"/>
    </row>
    <row r="2313" spans="1:1" s="90" customFormat="1">
      <c r="A2313" s="123"/>
    </row>
    <row r="2314" spans="1:1" s="90" customFormat="1">
      <c r="A2314" s="123"/>
    </row>
    <row r="2315" spans="1:1" s="90" customFormat="1">
      <c r="A2315" s="123"/>
    </row>
    <row r="2316" spans="1:1" s="90" customFormat="1">
      <c r="A2316" s="123"/>
    </row>
    <row r="2317" spans="1:1" s="90" customFormat="1">
      <c r="A2317" s="123"/>
    </row>
    <row r="2318" spans="1:1" s="90" customFormat="1">
      <c r="A2318" s="123"/>
    </row>
    <row r="2319" spans="1:1" s="90" customFormat="1">
      <c r="A2319" s="123"/>
    </row>
    <row r="2320" spans="1:1" s="90" customFormat="1">
      <c r="A2320" s="123"/>
    </row>
    <row r="2321" spans="1:1" s="90" customFormat="1">
      <c r="A2321" s="123"/>
    </row>
    <row r="2322" spans="1:1" s="90" customFormat="1">
      <c r="A2322" s="123"/>
    </row>
    <row r="2323" spans="1:1" s="90" customFormat="1">
      <c r="A2323" s="123"/>
    </row>
    <row r="2324" spans="1:1" s="90" customFormat="1">
      <c r="A2324" s="123"/>
    </row>
    <row r="2325" spans="1:1" s="90" customFormat="1">
      <c r="A2325" s="123"/>
    </row>
    <row r="2326" spans="1:1" s="90" customFormat="1">
      <c r="A2326" s="123"/>
    </row>
    <row r="2327" spans="1:1" s="90" customFormat="1">
      <c r="A2327" s="123"/>
    </row>
    <row r="2328" spans="1:1" s="90" customFormat="1">
      <c r="A2328" s="123"/>
    </row>
    <row r="2329" spans="1:1" s="90" customFormat="1">
      <c r="A2329" s="123"/>
    </row>
    <row r="2330" spans="1:1" s="90" customFormat="1">
      <c r="A2330" s="123"/>
    </row>
    <row r="2331" spans="1:1" s="90" customFormat="1">
      <c r="A2331" s="123"/>
    </row>
    <row r="2332" spans="1:1" s="90" customFormat="1">
      <c r="A2332" s="123"/>
    </row>
    <row r="2333" spans="1:1" s="90" customFormat="1">
      <c r="A2333" s="123"/>
    </row>
    <row r="2334" spans="1:1" s="90" customFormat="1">
      <c r="A2334" s="123"/>
    </row>
    <row r="2335" spans="1:1" s="90" customFormat="1">
      <c r="A2335" s="123"/>
    </row>
    <row r="2336" spans="1:1" s="90" customFormat="1">
      <c r="A2336" s="123"/>
    </row>
    <row r="2337" spans="1:1" s="90" customFormat="1">
      <c r="A2337" s="123"/>
    </row>
    <row r="2338" spans="1:1" s="90" customFormat="1">
      <c r="A2338" s="123"/>
    </row>
    <row r="2339" spans="1:1" s="90" customFormat="1">
      <c r="A2339" s="123"/>
    </row>
    <row r="2340" spans="1:1" s="90" customFormat="1">
      <c r="A2340" s="123"/>
    </row>
    <row r="2341" spans="1:1" s="90" customFormat="1">
      <c r="A2341" s="123"/>
    </row>
    <row r="2342" spans="1:1" s="90" customFormat="1">
      <c r="A2342" s="123"/>
    </row>
    <row r="2343" spans="1:1" s="90" customFormat="1">
      <c r="A2343" s="123"/>
    </row>
    <row r="2344" spans="1:1" s="90" customFormat="1">
      <c r="A2344" s="123"/>
    </row>
    <row r="2345" spans="1:1" s="90" customFormat="1">
      <c r="A2345" s="123"/>
    </row>
    <row r="2346" spans="1:1" s="90" customFormat="1">
      <c r="A2346" s="123"/>
    </row>
    <row r="2347" spans="1:1" s="90" customFormat="1">
      <c r="A2347" s="123"/>
    </row>
    <row r="2348" spans="1:1" s="90" customFormat="1">
      <c r="A2348" s="123"/>
    </row>
    <row r="2349" spans="1:1" s="90" customFormat="1">
      <c r="A2349" s="123"/>
    </row>
    <row r="2350" spans="1:1" s="90" customFormat="1">
      <c r="A2350" s="123"/>
    </row>
    <row r="2351" spans="1:1" s="90" customFormat="1">
      <c r="A2351" s="123"/>
    </row>
    <row r="2352" spans="1:1" s="90" customFormat="1">
      <c r="A2352" s="123"/>
    </row>
    <row r="2353" spans="1:1" s="90" customFormat="1">
      <c r="A2353" s="123"/>
    </row>
    <row r="2354" spans="1:1" s="90" customFormat="1">
      <c r="A2354" s="123"/>
    </row>
    <row r="2355" spans="1:1" s="90" customFormat="1">
      <c r="A2355" s="123"/>
    </row>
    <row r="2356" spans="1:1" s="90" customFormat="1">
      <c r="A2356" s="123"/>
    </row>
    <row r="2357" spans="1:1" s="90" customFormat="1">
      <c r="A2357" s="123"/>
    </row>
    <row r="2358" spans="1:1" s="90" customFormat="1">
      <c r="A2358" s="123"/>
    </row>
    <row r="2359" spans="1:1" s="90" customFormat="1">
      <c r="A2359" s="123"/>
    </row>
    <row r="2360" spans="1:1" s="90" customFormat="1">
      <c r="A2360" s="123"/>
    </row>
    <row r="2361" spans="1:1" s="90" customFormat="1">
      <c r="A2361" s="123"/>
    </row>
    <row r="2362" spans="1:1" s="90" customFormat="1">
      <c r="A2362" s="123"/>
    </row>
    <row r="2363" spans="1:1" s="90" customFormat="1">
      <c r="A2363" s="123"/>
    </row>
    <row r="2364" spans="1:1" s="90" customFormat="1">
      <c r="A2364" s="123"/>
    </row>
    <row r="2365" spans="1:1" s="90" customFormat="1">
      <c r="A2365" s="123"/>
    </row>
    <row r="2366" spans="1:1" s="90" customFormat="1">
      <c r="A2366" s="123"/>
    </row>
    <row r="2367" spans="1:1" s="90" customFormat="1">
      <c r="A2367" s="123"/>
    </row>
    <row r="2368" spans="1:1" s="90" customFormat="1">
      <c r="A2368" s="123"/>
    </row>
    <row r="2369" spans="1:1" s="90" customFormat="1">
      <c r="A2369" s="123"/>
    </row>
    <row r="2370" spans="1:1" s="90" customFormat="1">
      <c r="A2370" s="123"/>
    </row>
    <row r="2371" spans="1:1" s="90" customFormat="1">
      <c r="A2371" s="123"/>
    </row>
    <row r="2372" spans="1:1" s="90" customFormat="1">
      <c r="A2372" s="123"/>
    </row>
    <row r="2373" spans="1:1" s="90" customFormat="1">
      <c r="A2373" s="123"/>
    </row>
    <row r="2374" spans="1:1" s="90" customFormat="1">
      <c r="A2374" s="123"/>
    </row>
    <row r="2375" spans="1:1" s="90" customFormat="1">
      <c r="A2375" s="123"/>
    </row>
    <row r="2376" spans="1:1" s="90" customFormat="1">
      <c r="A2376" s="123"/>
    </row>
    <row r="2377" spans="1:1" s="90" customFormat="1">
      <c r="A2377" s="123"/>
    </row>
    <row r="2378" spans="1:1" s="90" customFormat="1">
      <c r="A2378" s="123"/>
    </row>
    <row r="2379" spans="1:1" s="90" customFormat="1">
      <c r="A2379" s="123"/>
    </row>
    <row r="2380" spans="1:1" s="90" customFormat="1">
      <c r="A2380" s="123"/>
    </row>
    <row r="2381" spans="1:1" s="90" customFormat="1">
      <c r="A2381" s="123"/>
    </row>
    <row r="2382" spans="1:1" s="90" customFormat="1">
      <c r="A2382" s="123"/>
    </row>
    <row r="2383" spans="1:1" s="90" customFormat="1">
      <c r="A2383" s="123"/>
    </row>
    <row r="2384" spans="1:1" s="90" customFormat="1">
      <c r="A2384" s="123"/>
    </row>
    <row r="2385" spans="1:1" s="90" customFormat="1">
      <c r="A2385" s="123"/>
    </row>
    <row r="2386" spans="1:1" s="90" customFormat="1">
      <c r="A2386" s="123"/>
    </row>
    <row r="2387" spans="1:1" s="90" customFormat="1">
      <c r="A2387" s="123"/>
    </row>
    <row r="2388" spans="1:1" s="90" customFormat="1">
      <c r="A2388" s="123"/>
    </row>
    <row r="2389" spans="1:1" s="90" customFormat="1">
      <c r="A2389" s="123"/>
    </row>
    <row r="2390" spans="1:1" s="90" customFormat="1">
      <c r="A2390" s="123"/>
    </row>
    <row r="2391" spans="1:1" s="90" customFormat="1">
      <c r="A2391" s="123"/>
    </row>
    <row r="2392" spans="1:1" s="90" customFormat="1">
      <c r="A2392" s="123"/>
    </row>
    <row r="2393" spans="1:1" s="90" customFormat="1">
      <c r="A2393" s="123"/>
    </row>
    <row r="2394" spans="1:1" s="90" customFormat="1">
      <c r="A2394" s="123"/>
    </row>
    <row r="2395" spans="1:1" s="90" customFormat="1">
      <c r="A2395" s="123"/>
    </row>
    <row r="2396" spans="1:1" s="90" customFormat="1">
      <c r="A2396" s="123"/>
    </row>
    <row r="2397" spans="1:1" s="90" customFormat="1">
      <c r="A2397" s="123"/>
    </row>
    <row r="2398" spans="1:1" s="90" customFormat="1">
      <c r="A2398" s="123"/>
    </row>
    <row r="2399" spans="1:1" s="90" customFormat="1">
      <c r="A2399" s="123"/>
    </row>
    <row r="2400" spans="1:1" s="90" customFormat="1">
      <c r="A2400" s="123"/>
    </row>
    <row r="2401" spans="1:1" s="90" customFormat="1">
      <c r="A2401" s="123"/>
    </row>
    <row r="2402" spans="1:1" s="90" customFormat="1">
      <c r="A2402" s="123"/>
    </row>
    <row r="2403" spans="1:1" s="90" customFormat="1">
      <c r="A2403" s="123"/>
    </row>
    <row r="2404" spans="1:1" s="90" customFormat="1">
      <c r="A2404" s="123"/>
    </row>
    <row r="2405" spans="1:1" s="90" customFormat="1">
      <c r="A2405" s="123"/>
    </row>
    <row r="2406" spans="1:1" s="90" customFormat="1">
      <c r="A2406" s="123"/>
    </row>
    <row r="2407" spans="1:1" s="90" customFormat="1">
      <c r="A2407" s="123"/>
    </row>
    <row r="2408" spans="1:1" s="90" customFormat="1">
      <c r="A2408" s="123"/>
    </row>
    <row r="2409" spans="1:1" s="90" customFormat="1">
      <c r="A2409" s="123"/>
    </row>
    <row r="2410" spans="1:1" s="90" customFormat="1">
      <c r="A2410" s="123"/>
    </row>
    <row r="2411" spans="1:1" s="90" customFormat="1">
      <c r="A2411" s="123"/>
    </row>
    <row r="2412" spans="1:1" s="90" customFormat="1">
      <c r="A2412" s="123"/>
    </row>
    <row r="2413" spans="1:1" s="90" customFormat="1">
      <c r="A2413" s="123"/>
    </row>
    <row r="2414" spans="1:1" s="90" customFormat="1">
      <c r="A2414" s="123"/>
    </row>
    <row r="2415" spans="1:1" s="90" customFormat="1">
      <c r="A2415" s="123"/>
    </row>
    <row r="2416" spans="1:1" s="90" customFormat="1">
      <c r="A2416" s="123"/>
    </row>
    <row r="2417" spans="1:1" s="90" customFormat="1">
      <c r="A2417" s="123"/>
    </row>
    <row r="2418" spans="1:1" s="90" customFormat="1">
      <c r="A2418" s="123"/>
    </row>
    <row r="2419" spans="1:1" s="90" customFormat="1">
      <c r="A2419" s="123"/>
    </row>
    <row r="2420" spans="1:1" s="90" customFormat="1">
      <c r="A2420" s="123"/>
    </row>
    <row r="2421" spans="1:1" s="90" customFormat="1">
      <c r="A2421" s="123"/>
    </row>
    <row r="2422" spans="1:1" s="90" customFormat="1">
      <c r="A2422" s="123"/>
    </row>
    <row r="2423" spans="1:1" s="90" customFormat="1">
      <c r="A2423" s="123"/>
    </row>
    <row r="2424" spans="1:1" s="90" customFormat="1">
      <c r="A2424" s="123"/>
    </row>
    <row r="2425" spans="1:1" s="90" customFormat="1">
      <c r="A2425" s="123"/>
    </row>
    <row r="2426" spans="1:1" s="90" customFormat="1">
      <c r="A2426" s="123"/>
    </row>
    <row r="2427" spans="1:1" s="90" customFormat="1">
      <c r="A2427" s="123"/>
    </row>
    <row r="2428" spans="1:1" s="90" customFormat="1">
      <c r="A2428" s="123"/>
    </row>
    <row r="2429" spans="1:1" s="90" customFormat="1">
      <c r="A2429" s="123"/>
    </row>
    <row r="2430" spans="1:1" s="90" customFormat="1">
      <c r="A2430" s="123"/>
    </row>
    <row r="2431" spans="1:1" s="90" customFormat="1">
      <c r="A2431" s="123"/>
    </row>
    <row r="2432" spans="1:1" s="90" customFormat="1">
      <c r="A2432" s="123"/>
    </row>
    <row r="2433" spans="1:1" s="90" customFormat="1">
      <c r="A2433" s="123"/>
    </row>
    <row r="2434" spans="1:1" s="90" customFormat="1">
      <c r="A2434" s="123"/>
    </row>
    <row r="2435" spans="1:1" s="90" customFormat="1">
      <c r="A2435" s="123"/>
    </row>
    <row r="2436" spans="1:1" s="90" customFormat="1">
      <c r="A2436" s="123"/>
    </row>
    <row r="2437" spans="1:1" s="90" customFormat="1">
      <c r="A2437" s="123"/>
    </row>
    <row r="2438" spans="1:1" s="90" customFormat="1">
      <c r="A2438" s="123"/>
    </row>
    <row r="2439" spans="1:1" s="90" customFormat="1">
      <c r="A2439" s="123"/>
    </row>
    <row r="2440" spans="1:1" s="90" customFormat="1">
      <c r="A2440" s="123"/>
    </row>
    <row r="2441" spans="1:1" s="90" customFormat="1">
      <c r="A2441" s="123"/>
    </row>
    <row r="2442" spans="1:1" s="90" customFormat="1">
      <c r="A2442" s="123"/>
    </row>
    <row r="2443" spans="1:1" s="90" customFormat="1">
      <c r="A2443" s="123"/>
    </row>
    <row r="2444" spans="1:1" s="90" customFormat="1">
      <c r="A2444" s="123"/>
    </row>
    <row r="2445" spans="1:1" s="90" customFormat="1">
      <c r="A2445" s="123"/>
    </row>
    <row r="2446" spans="1:1" s="90" customFormat="1">
      <c r="A2446" s="123"/>
    </row>
    <row r="2447" spans="1:1" s="90" customFormat="1">
      <c r="A2447" s="123"/>
    </row>
    <row r="2448" spans="1:1" s="90" customFormat="1">
      <c r="A2448" s="123"/>
    </row>
    <row r="2449" spans="1:1" s="90" customFormat="1">
      <c r="A2449" s="123"/>
    </row>
    <row r="2450" spans="1:1" s="90" customFormat="1">
      <c r="A2450" s="123"/>
    </row>
    <row r="2451" spans="1:1" s="90" customFormat="1">
      <c r="A2451" s="123"/>
    </row>
    <row r="2452" spans="1:1" s="90" customFormat="1">
      <c r="A2452" s="123"/>
    </row>
    <row r="2453" spans="1:1" s="90" customFormat="1">
      <c r="A2453" s="123"/>
    </row>
    <row r="2454" spans="1:1" s="90" customFormat="1">
      <c r="A2454" s="123"/>
    </row>
    <row r="2455" spans="1:1" s="90" customFormat="1">
      <c r="A2455" s="123"/>
    </row>
    <row r="2456" spans="1:1" s="90" customFormat="1">
      <c r="A2456" s="123"/>
    </row>
    <row r="2457" spans="1:1" s="90" customFormat="1">
      <c r="A2457" s="123"/>
    </row>
    <row r="2458" spans="1:1" s="90" customFormat="1">
      <c r="A2458" s="123"/>
    </row>
    <row r="2459" spans="1:1" s="90" customFormat="1">
      <c r="A2459" s="123"/>
    </row>
    <row r="2460" spans="1:1" s="90" customFormat="1">
      <c r="A2460" s="123"/>
    </row>
    <row r="2461" spans="1:1" s="90" customFormat="1">
      <c r="A2461" s="123"/>
    </row>
    <row r="2462" spans="1:1" s="90" customFormat="1">
      <c r="A2462" s="123"/>
    </row>
    <row r="2463" spans="1:1" s="90" customFormat="1">
      <c r="A2463" s="123"/>
    </row>
    <row r="2464" spans="1:1" s="90" customFormat="1">
      <c r="A2464" s="123"/>
    </row>
    <row r="2465" spans="1:1" s="90" customFormat="1">
      <c r="A2465" s="123"/>
    </row>
    <row r="2466" spans="1:1" s="90" customFormat="1">
      <c r="A2466" s="123"/>
    </row>
    <row r="2467" spans="1:1" s="90" customFormat="1">
      <c r="A2467" s="123"/>
    </row>
    <row r="2468" spans="1:1" s="90" customFormat="1">
      <c r="A2468" s="123"/>
    </row>
    <row r="2469" spans="1:1" s="90" customFormat="1">
      <c r="A2469" s="123"/>
    </row>
    <row r="2470" spans="1:1" s="90" customFormat="1">
      <c r="A2470" s="123"/>
    </row>
    <row r="2471" spans="1:1" s="90" customFormat="1">
      <c r="A2471" s="123"/>
    </row>
    <row r="2472" spans="1:1" s="90" customFormat="1">
      <c r="A2472" s="123"/>
    </row>
    <row r="2473" spans="1:1" s="90" customFormat="1">
      <c r="A2473" s="123"/>
    </row>
    <row r="2474" spans="1:1" s="90" customFormat="1">
      <c r="A2474" s="123"/>
    </row>
    <row r="2475" spans="1:1" s="90" customFormat="1">
      <c r="A2475" s="123"/>
    </row>
    <row r="2476" spans="1:1" s="90" customFormat="1">
      <c r="A2476" s="123"/>
    </row>
    <row r="2477" spans="1:1" s="90" customFormat="1">
      <c r="A2477" s="123"/>
    </row>
    <row r="2478" spans="1:1" s="90" customFormat="1">
      <c r="A2478" s="123"/>
    </row>
    <row r="2479" spans="1:1" s="90" customFormat="1">
      <c r="A2479" s="123"/>
    </row>
    <row r="2480" spans="1:1" s="90" customFormat="1">
      <c r="A2480" s="123"/>
    </row>
    <row r="2481" spans="1:1" s="90" customFormat="1">
      <c r="A2481" s="123"/>
    </row>
    <row r="2482" spans="1:1" s="90" customFormat="1">
      <c r="A2482" s="123"/>
    </row>
    <row r="2483" spans="1:1" s="90" customFormat="1">
      <c r="A2483" s="123"/>
    </row>
    <row r="2484" spans="1:1" s="90" customFormat="1">
      <c r="A2484" s="123"/>
    </row>
    <row r="2485" spans="1:1" s="90" customFormat="1">
      <c r="A2485" s="123"/>
    </row>
    <row r="2486" spans="1:1" s="90" customFormat="1">
      <c r="A2486" s="123"/>
    </row>
    <row r="2487" spans="1:1" s="90" customFormat="1">
      <c r="A2487" s="123"/>
    </row>
    <row r="2488" spans="1:1" s="90" customFormat="1">
      <c r="A2488" s="123"/>
    </row>
    <row r="2489" spans="1:1" s="90" customFormat="1">
      <c r="A2489" s="123"/>
    </row>
    <row r="2490" spans="1:1" s="90" customFormat="1">
      <c r="A2490" s="123"/>
    </row>
    <row r="2491" spans="1:1" s="90" customFormat="1">
      <c r="A2491" s="123"/>
    </row>
    <row r="2492" spans="1:1" s="90" customFormat="1">
      <c r="A2492" s="123"/>
    </row>
    <row r="2493" spans="1:1" s="90" customFormat="1">
      <c r="A2493" s="123"/>
    </row>
    <row r="2494" spans="1:1" s="90" customFormat="1">
      <c r="A2494" s="123"/>
    </row>
    <row r="2495" spans="1:1" s="90" customFormat="1">
      <c r="A2495" s="123"/>
    </row>
    <row r="2496" spans="1:1" s="90" customFormat="1">
      <c r="A2496" s="123"/>
    </row>
    <row r="2497" spans="1:1" s="90" customFormat="1">
      <c r="A2497" s="123"/>
    </row>
    <row r="2498" spans="1:1" s="90" customFormat="1">
      <c r="A2498" s="123"/>
    </row>
    <row r="2499" spans="1:1" s="90" customFormat="1">
      <c r="A2499" s="123"/>
    </row>
    <row r="2500" spans="1:1" s="90" customFormat="1">
      <c r="A2500" s="123"/>
    </row>
    <row r="2501" spans="1:1" s="90" customFormat="1">
      <c r="A2501" s="123"/>
    </row>
    <row r="2502" spans="1:1" s="90" customFormat="1">
      <c r="A2502" s="123"/>
    </row>
    <row r="2503" spans="1:1" s="90" customFormat="1">
      <c r="A2503" s="123"/>
    </row>
    <row r="2504" spans="1:1" s="90" customFormat="1">
      <c r="A2504" s="123"/>
    </row>
    <row r="2505" spans="1:1" s="90" customFormat="1">
      <c r="A2505" s="123"/>
    </row>
    <row r="2506" spans="1:1" s="90" customFormat="1">
      <c r="A2506" s="123"/>
    </row>
    <row r="2507" spans="1:1" s="90" customFormat="1">
      <c r="A2507" s="123"/>
    </row>
    <row r="2508" spans="1:1" s="90" customFormat="1">
      <c r="A2508" s="123"/>
    </row>
    <row r="2509" spans="1:1" s="90" customFormat="1">
      <c r="A2509" s="123"/>
    </row>
    <row r="2510" spans="1:1" s="90" customFormat="1">
      <c r="A2510" s="123"/>
    </row>
    <row r="2511" spans="1:1" s="90" customFormat="1">
      <c r="A2511" s="123"/>
    </row>
    <row r="2512" spans="1:1" s="90" customFormat="1">
      <c r="A2512" s="123"/>
    </row>
    <row r="2513" spans="1:1" s="90" customFormat="1">
      <c r="A2513" s="123"/>
    </row>
    <row r="2514" spans="1:1" s="90" customFormat="1">
      <c r="A2514" s="123"/>
    </row>
    <row r="2515" spans="1:1" s="90" customFormat="1">
      <c r="A2515" s="123"/>
    </row>
    <row r="2516" spans="1:1" s="90" customFormat="1">
      <c r="A2516" s="123"/>
    </row>
    <row r="2517" spans="1:1" s="90" customFormat="1">
      <c r="A2517" s="123"/>
    </row>
    <row r="2518" spans="1:1" s="90" customFormat="1">
      <c r="A2518" s="123"/>
    </row>
    <row r="2519" spans="1:1" s="90" customFormat="1">
      <c r="A2519" s="123"/>
    </row>
    <row r="2520" spans="1:1" s="90" customFormat="1">
      <c r="A2520" s="123"/>
    </row>
    <row r="2521" spans="1:1" s="90" customFormat="1">
      <c r="A2521" s="123"/>
    </row>
    <row r="2522" spans="1:1" s="90" customFormat="1">
      <c r="A2522" s="123"/>
    </row>
    <row r="2523" spans="1:1" s="90" customFormat="1">
      <c r="A2523" s="123"/>
    </row>
    <row r="2524" spans="1:1" s="90" customFormat="1">
      <c r="A2524" s="123"/>
    </row>
    <row r="2525" spans="1:1" s="90" customFormat="1">
      <c r="A2525" s="123"/>
    </row>
    <row r="2526" spans="1:1" s="90" customFormat="1">
      <c r="A2526" s="123"/>
    </row>
    <row r="2527" spans="1:1" s="90" customFormat="1">
      <c r="A2527" s="123"/>
    </row>
    <row r="2528" spans="1:1" s="90" customFormat="1">
      <c r="A2528" s="123"/>
    </row>
    <row r="2529" spans="1:1" s="90" customFormat="1">
      <c r="A2529" s="123"/>
    </row>
    <row r="2530" spans="1:1" s="90" customFormat="1">
      <c r="A2530" s="123"/>
    </row>
    <row r="2531" spans="1:1" s="90" customFormat="1">
      <c r="A2531" s="123"/>
    </row>
    <row r="2532" spans="1:1" s="90" customFormat="1">
      <c r="A2532" s="123"/>
    </row>
    <row r="2533" spans="1:1" s="90" customFormat="1">
      <c r="A2533" s="123"/>
    </row>
    <row r="2534" spans="1:1" s="90" customFormat="1">
      <c r="A2534" s="123"/>
    </row>
    <row r="2535" spans="1:1" s="90" customFormat="1">
      <c r="A2535" s="123"/>
    </row>
    <row r="2536" spans="1:1" s="90" customFormat="1">
      <c r="A2536" s="123"/>
    </row>
    <row r="2537" spans="1:1" s="90" customFormat="1">
      <c r="A2537" s="123"/>
    </row>
    <row r="2538" spans="1:1" s="90" customFormat="1">
      <c r="A2538" s="123"/>
    </row>
    <row r="2539" spans="1:1" s="90" customFormat="1">
      <c r="A2539" s="123"/>
    </row>
    <row r="2540" spans="1:1" s="90" customFormat="1">
      <c r="A2540" s="123"/>
    </row>
    <row r="2541" spans="1:1" s="90" customFormat="1">
      <c r="A2541" s="123"/>
    </row>
    <row r="2542" spans="1:1" s="90" customFormat="1">
      <c r="A2542" s="123"/>
    </row>
    <row r="2543" spans="1:1" s="90" customFormat="1">
      <c r="A2543" s="123"/>
    </row>
    <row r="2544" spans="1:1" s="90" customFormat="1">
      <c r="A2544" s="123"/>
    </row>
    <row r="2545" spans="1:1" s="90" customFormat="1">
      <c r="A2545" s="123"/>
    </row>
    <row r="2546" spans="1:1" s="90" customFormat="1">
      <c r="A2546" s="123"/>
    </row>
    <row r="2547" spans="1:1" s="90" customFormat="1">
      <c r="A2547" s="123"/>
    </row>
    <row r="2548" spans="1:1" s="90" customFormat="1">
      <c r="A2548" s="123"/>
    </row>
    <row r="2549" spans="1:1" s="90" customFormat="1">
      <c r="A2549" s="123"/>
    </row>
    <row r="2550" spans="1:1" s="90" customFormat="1">
      <c r="A2550" s="123"/>
    </row>
    <row r="2551" spans="1:1" s="90" customFormat="1">
      <c r="A2551" s="123"/>
    </row>
    <row r="2552" spans="1:1" s="90" customFormat="1">
      <c r="A2552" s="123"/>
    </row>
    <row r="2553" spans="1:1" s="90" customFormat="1">
      <c r="A2553" s="123"/>
    </row>
    <row r="2554" spans="1:1" s="90" customFormat="1">
      <c r="A2554" s="123"/>
    </row>
    <row r="2555" spans="1:1" s="90" customFormat="1">
      <c r="A2555" s="123"/>
    </row>
    <row r="2556" spans="1:1" s="90" customFormat="1">
      <c r="A2556" s="123"/>
    </row>
    <row r="2557" spans="1:1" s="90" customFormat="1">
      <c r="A2557" s="123"/>
    </row>
    <row r="2558" spans="1:1" s="90" customFormat="1">
      <c r="A2558" s="123"/>
    </row>
    <row r="2559" spans="1:1" s="90" customFormat="1">
      <c r="A2559" s="123"/>
    </row>
    <row r="2560" spans="1:1" s="90" customFormat="1">
      <c r="A2560" s="123"/>
    </row>
    <row r="2561" spans="1:1" s="90" customFormat="1">
      <c r="A2561" s="123"/>
    </row>
    <row r="2562" spans="1:1" s="90" customFormat="1">
      <c r="A2562" s="123"/>
    </row>
    <row r="2563" spans="1:1" s="90" customFormat="1">
      <c r="A2563" s="123"/>
    </row>
    <row r="2564" spans="1:1" s="90" customFormat="1">
      <c r="A2564" s="123"/>
    </row>
    <row r="2565" spans="1:1" s="90" customFormat="1">
      <c r="A2565" s="123"/>
    </row>
    <row r="2566" spans="1:1" s="90" customFormat="1">
      <c r="A2566" s="123"/>
    </row>
    <row r="2567" spans="1:1" s="90" customFormat="1">
      <c r="A2567" s="123"/>
    </row>
    <row r="2568" spans="1:1" s="90" customFormat="1">
      <c r="A2568" s="123"/>
    </row>
    <row r="2569" spans="1:1" s="90" customFormat="1">
      <c r="A2569" s="123"/>
    </row>
    <row r="2570" spans="1:1" s="90" customFormat="1">
      <c r="A2570" s="123"/>
    </row>
    <row r="2571" spans="1:1" s="90" customFormat="1">
      <c r="A2571" s="123"/>
    </row>
    <row r="2572" spans="1:1" s="90" customFormat="1">
      <c r="A2572" s="123"/>
    </row>
    <row r="2573" spans="1:1" s="90" customFormat="1">
      <c r="A2573" s="123"/>
    </row>
    <row r="2574" spans="1:1" s="90" customFormat="1">
      <c r="A2574" s="123"/>
    </row>
    <row r="2575" spans="1:1" s="90" customFormat="1">
      <c r="A2575" s="123"/>
    </row>
    <row r="2576" spans="1:1" s="90" customFormat="1">
      <c r="A2576" s="123"/>
    </row>
    <row r="2577" spans="1:1" s="90" customFormat="1">
      <c r="A2577" s="123"/>
    </row>
    <row r="2578" spans="1:1" s="90" customFormat="1">
      <c r="A2578" s="123"/>
    </row>
    <row r="2579" spans="1:1" s="90" customFormat="1">
      <c r="A2579" s="123"/>
    </row>
    <row r="2580" spans="1:1" s="90" customFormat="1">
      <c r="A2580" s="123"/>
    </row>
    <row r="2581" spans="1:1" s="90" customFormat="1">
      <c r="A2581" s="123"/>
    </row>
    <row r="2582" spans="1:1" s="90" customFormat="1">
      <c r="A2582" s="123"/>
    </row>
    <row r="2583" spans="1:1" s="90" customFormat="1">
      <c r="A2583" s="123"/>
    </row>
    <row r="2584" spans="1:1" s="90" customFormat="1">
      <c r="A2584" s="123"/>
    </row>
    <row r="2585" spans="1:1" s="90" customFormat="1">
      <c r="A2585" s="123"/>
    </row>
    <row r="2586" spans="1:1" s="90" customFormat="1">
      <c r="A2586" s="123"/>
    </row>
    <row r="2587" spans="1:1" s="90" customFormat="1">
      <c r="A2587" s="123"/>
    </row>
    <row r="2588" spans="1:1" s="90" customFormat="1">
      <c r="A2588" s="123"/>
    </row>
    <row r="2589" spans="1:1" s="90" customFormat="1">
      <c r="A2589" s="123"/>
    </row>
    <row r="2590" spans="1:1" s="90" customFormat="1">
      <c r="A2590" s="123"/>
    </row>
    <row r="2591" spans="1:1" s="90" customFormat="1">
      <c r="A2591" s="123"/>
    </row>
    <row r="2592" spans="1:1" s="90" customFormat="1">
      <c r="A2592" s="123"/>
    </row>
    <row r="2593" spans="1:1" s="90" customFormat="1">
      <c r="A2593" s="123"/>
    </row>
    <row r="2594" spans="1:1" s="90" customFormat="1">
      <c r="A2594" s="123"/>
    </row>
    <row r="2595" spans="1:1" s="90" customFormat="1">
      <c r="A2595" s="123"/>
    </row>
    <row r="2596" spans="1:1" s="90" customFormat="1">
      <c r="A2596" s="123"/>
    </row>
    <row r="2597" spans="1:1" s="90" customFormat="1">
      <c r="A2597" s="123"/>
    </row>
    <row r="2598" spans="1:1" s="90" customFormat="1">
      <c r="A2598" s="123"/>
    </row>
    <row r="2599" spans="1:1" s="90" customFormat="1">
      <c r="A2599" s="123"/>
    </row>
    <row r="2600" spans="1:1" s="90" customFormat="1">
      <c r="A2600" s="123"/>
    </row>
    <row r="2601" spans="1:1" s="90" customFormat="1">
      <c r="A2601" s="123"/>
    </row>
    <row r="2602" spans="1:1" s="90" customFormat="1">
      <c r="A2602" s="123"/>
    </row>
    <row r="2603" spans="1:1" s="90" customFormat="1">
      <c r="A2603" s="123"/>
    </row>
    <row r="2604" spans="1:1" s="90" customFormat="1">
      <c r="A2604" s="123"/>
    </row>
    <row r="2605" spans="1:1" s="90" customFormat="1">
      <c r="A2605" s="123"/>
    </row>
    <row r="2606" spans="1:1" s="90" customFormat="1">
      <c r="A2606" s="123"/>
    </row>
    <row r="2607" spans="1:1" s="90" customFormat="1">
      <c r="A2607" s="123"/>
    </row>
    <row r="2608" spans="1:1" s="90" customFormat="1">
      <c r="A2608" s="123"/>
    </row>
    <row r="2609" spans="1:1" s="90" customFormat="1">
      <c r="A2609" s="123"/>
    </row>
    <row r="2610" spans="1:1" s="90" customFormat="1">
      <c r="A2610" s="123"/>
    </row>
    <row r="2611" spans="1:1" s="90" customFormat="1">
      <c r="A2611" s="123"/>
    </row>
    <row r="2612" spans="1:1" s="90" customFormat="1">
      <c r="A2612" s="123"/>
    </row>
    <row r="2613" spans="1:1" s="90" customFormat="1">
      <c r="A2613" s="123"/>
    </row>
    <row r="2614" spans="1:1" s="90" customFormat="1">
      <c r="A2614" s="123"/>
    </row>
    <row r="2615" spans="1:1" s="90" customFormat="1">
      <c r="A2615" s="123"/>
    </row>
    <row r="2616" spans="1:1" s="90" customFormat="1">
      <c r="A2616" s="123"/>
    </row>
    <row r="2617" spans="1:1" s="90" customFormat="1">
      <c r="A2617" s="123"/>
    </row>
    <row r="2618" spans="1:1" s="90" customFormat="1">
      <c r="A2618" s="123"/>
    </row>
    <row r="2619" spans="1:1" s="90" customFormat="1">
      <c r="A2619" s="123"/>
    </row>
    <row r="2620" spans="1:1" s="90" customFormat="1">
      <c r="A2620" s="123"/>
    </row>
    <row r="2621" spans="1:1" s="90" customFormat="1">
      <c r="A2621" s="123"/>
    </row>
    <row r="2622" spans="1:1" s="90" customFormat="1">
      <c r="A2622" s="123"/>
    </row>
    <row r="2623" spans="1:1" s="90" customFormat="1">
      <c r="A2623" s="123"/>
    </row>
    <row r="2624" spans="1:1" s="90" customFormat="1">
      <c r="A2624" s="123"/>
    </row>
    <row r="2625" spans="1:1" s="90" customFormat="1">
      <c r="A2625" s="123"/>
    </row>
    <row r="2626" spans="1:1" s="90" customFormat="1">
      <c r="A2626" s="123"/>
    </row>
    <row r="2627" spans="1:1" s="90" customFormat="1">
      <c r="A2627" s="123"/>
    </row>
    <row r="2628" spans="1:1" s="90" customFormat="1">
      <c r="A2628" s="123"/>
    </row>
    <row r="2629" spans="1:1" s="90" customFormat="1">
      <c r="A2629" s="123"/>
    </row>
    <row r="2630" spans="1:1" s="90" customFormat="1">
      <c r="A2630" s="123"/>
    </row>
    <row r="2631" spans="1:1" s="90" customFormat="1">
      <c r="A2631" s="123"/>
    </row>
    <row r="2632" spans="1:1" s="90" customFormat="1">
      <c r="A2632" s="123"/>
    </row>
    <row r="2633" spans="1:1" s="90" customFormat="1">
      <c r="A2633" s="123"/>
    </row>
    <row r="2634" spans="1:1" s="90" customFormat="1">
      <c r="A2634" s="123"/>
    </row>
    <row r="2635" spans="1:1" s="90" customFormat="1">
      <c r="A2635" s="123"/>
    </row>
    <row r="2636" spans="1:1" s="90" customFormat="1">
      <c r="A2636" s="123"/>
    </row>
    <row r="2637" spans="1:1" s="90" customFormat="1">
      <c r="A2637" s="123"/>
    </row>
    <row r="2638" spans="1:1" s="90" customFormat="1">
      <c r="A2638" s="123"/>
    </row>
    <row r="2639" spans="1:1" s="90" customFormat="1">
      <c r="A2639" s="123"/>
    </row>
    <row r="2640" spans="1:1" s="90" customFormat="1">
      <c r="A2640" s="123"/>
    </row>
    <row r="2641" spans="1:1" s="90" customFormat="1">
      <c r="A2641" s="123"/>
    </row>
    <row r="2642" spans="1:1" s="90" customFormat="1">
      <c r="A2642" s="123"/>
    </row>
    <row r="2643" spans="1:1" s="90" customFormat="1">
      <c r="A2643" s="123"/>
    </row>
    <row r="2644" spans="1:1" s="90" customFormat="1">
      <c r="A2644" s="123"/>
    </row>
    <row r="2645" spans="1:1" s="90" customFormat="1">
      <c r="A2645" s="123"/>
    </row>
    <row r="2646" spans="1:1" s="90" customFormat="1">
      <c r="A2646" s="123"/>
    </row>
    <row r="2647" spans="1:1" s="90" customFormat="1">
      <c r="A2647" s="123"/>
    </row>
    <row r="2648" spans="1:1" s="90" customFormat="1">
      <c r="A2648" s="123"/>
    </row>
    <row r="2649" spans="1:1" s="90" customFormat="1">
      <c r="A2649" s="123"/>
    </row>
    <row r="2650" spans="1:1" s="90" customFormat="1">
      <c r="A2650" s="123"/>
    </row>
    <row r="2651" spans="1:1" s="90" customFormat="1">
      <c r="A2651" s="123"/>
    </row>
    <row r="2652" spans="1:1" s="90" customFormat="1">
      <c r="A2652" s="123"/>
    </row>
    <row r="2653" spans="1:1" s="90" customFormat="1">
      <c r="A2653" s="123"/>
    </row>
    <row r="2654" spans="1:1" s="90" customFormat="1">
      <c r="A2654" s="123"/>
    </row>
    <row r="2655" spans="1:1" s="90" customFormat="1">
      <c r="A2655" s="123"/>
    </row>
    <row r="2656" spans="1:1" s="90" customFormat="1">
      <c r="A2656" s="123"/>
    </row>
    <row r="2657" spans="1:1" s="90" customFormat="1">
      <c r="A2657" s="123"/>
    </row>
    <row r="2658" spans="1:1" s="90" customFormat="1">
      <c r="A2658" s="123"/>
    </row>
    <row r="2659" spans="1:1" s="90" customFormat="1">
      <c r="A2659" s="123"/>
    </row>
    <row r="2660" spans="1:1" s="90" customFormat="1">
      <c r="A2660" s="123"/>
    </row>
    <row r="2661" spans="1:1" s="90" customFormat="1">
      <c r="A2661" s="123"/>
    </row>
    <row r="2662" spans="1:1" s="90" customFormat="1">
      <c r="A2662" s="123"/>
    </row>
    <row r="2663" spans="1:1" s="90" customFormat="1">
      <c r="A2663" s="123"/>
    </row>
    <row r="2664" spans="1:1" s="90" customFormat="1">
      <c r="A2664" s="123"/>
    </row>
    <row r="2665" spans="1:1" s="90" customFormat="1">
      <c r="A2665" s="123"/>
    </row>
    <row r="2666" spans="1:1" s="90" customFormat="1">
      <c r="A2666" s="123"/>
    </row>
    <row r="2667" spans="1:1" s="90" customFormat="1">
      <c r="A2667" s="123"/>
    </row>
    <row r="2668" spans="1:1" s="90" customFormat="1">
      <c r="A2668" s="123"/>
    </row>
    <row r="2669" spans="1:1" s="90" customFormat="1">
      <c r="A2669" s="123"/>
    </row>
    <row r="2670" spans="1:1" s="90" customFormat="1">
      <c r="A2670" s="123"/>
    </row>
    <row r="2671" spans="1:1" s="90" customFormat="1">
      <c r="A2671" s="123"/>
    </row>
    <row r="2672" spans="1:1" s="90" customFormat="1">
      <c r="A2672" s="123"/>
    </row>
    <row r="2673" spans="1:1" s="90" customFormat="1">
      <c r="A2673" s="123"/>
    </row>
    <row r="2674" spans="1:1" s="90" customFormat="1">
      <c r="A2674" s="123"/>
    </row>
    <row r="2675" spans="1:1" s="90" customFormat="1">
      <c r="A2675" s="123"/>
    </row>
    <row r="2676" spans="1:1" s="90" customFormat="1">
      <c r="A2676" s="123"/>
    </row>
    <row r="2677" spans="1:1" s="90" customFormat="1">
      <c r="A2677" s="123"/>
    </row>
    <row r="2678" spans="1:1" s="90" customFormat="1">
      <c r="A2678" s="123"/>
    </row>
    <row r="2679" spans="1:1" s="90" customFormat="1">
      <c r="A2679" s="123"/>
    </row>
    <row r="2680" spans="1:1" s="90" customFormat="1">
      <c r="A2680" s="123"/>
    </row>
    <row r="2681" spans="1:1" s="90" customFormat="1">
      <c r="A2681" s="123"/>
    </row>
    <row r="2682" spans="1:1" s="90" customFormat="1">
      <c r="A2682" s="123"/>
    </row>
    <row r="2683" spans="1:1" s="90" customFormat="1">
      <c r="A2683" s="123"/>
    </row>
    <row r="2684" spans="1:1" s="90" customFormat="1">
      <c r="A2684" s="123"/>
    </row>
    <row r="2685" spans="1:1" s="90" customFormat="1">
      <c r="A2685" s="123"/>
    </row>
    <row r="2686" spans="1:1" s="90" customFormat="1">
      <c r="A2686" s="123"/>
    </row>
    <row r="2687" spans="1:1" s="90" customFormat="1">
      <c r="A2687" s="123"/>
    </row>
    <row r="2688" spans="1:1" s="90" customFormat="1">
      <c r="A2688" s="123"/>
    </row>
    <row r="2689" spans="1:1" s="90" customFormat="1">
      <c r="A2689" s="123"/>
    </row>
    <row r="2690" spans="1:1" s="90" customFormat="1">
      <c r="A2690" s="123"/>
    </row>
    <row r="2691" spans="1:1" s="90" customFormat="1">
      <c r="A2691" s="123"/>
    </row>
    <row r="2692" spans="1:1" s="90" customFormat="1">
      <c r="A2692" s="123"/>
    </row>
    <row r="2693" spans="1:1" s="90" customFormat="1">
      <c r="A2693" s="123"/>
    </row>
    <row r="2694" spans="1:1" s="90" customFormat="1">
      <c r="A2694" s="123"/>
    </row>
    <row r="2695" spans="1:1" s="90" customFormat="1">
      <c r="A2695" s="123"/>
    </row>
    <row r="2696" spans="1:1" s="90" customFormat="1">
      <c r="A2696" s="123"/>
    </row>
    <row r="2697" spans="1:1" s="90" customFormat="1">
      <c r="A2697" s="123"/>
    </row>
    <row r="2698" spans="1:1" s="90" customFormat="1">
      <c r="A2698" s="123"/>
    </row>
    <row r="2699" spans="1:1" s="90" customFormat="1">
      <c r="A2699" s="123"/>
    </row>
    <row r="2700" spans="1:1" s="90" customFormat="1">
      <c r="A2700" s="123"/>
    </row>
    <row r="2701" spans="1:1" s="90" customFormat="1">
      <c r="A2701" s="123"/>
    </row>
    <row r="2702" spans="1:1" s="90" customFormat="1">
      <c r="A2702" s="123"/>
    </row>
    <row r="2703" spans="1:1" s="90" customFormat="1">
      <c r="A2703" s="123"/>
    </row>
    <row r="2704" spans="1:1" s="90" customFormat="1">
      <c r="A2704" s="123"/>
    </row>
    <row r="2705" spans="1:1" s="90" customFormat="1">
      <c r="A2705" s="123"/>
    </row>
    <row r="2706" spans="1:1" s="90" customFormat="1">
      <c r="A2706" s="123"/>
    </row>
    <row r="2707" spans="1:1" s="90" customFormat="1">
      <c r="A2707" s="123"/>
    </row>
    <row r="2708" spans="1:1" s="90" customFormat="1">
      <c r="A2708" s="123"/>
    </row>
    <row r="2709" spans="1:1" s="90" customFormat="1">
      <c r="A2709" s="123"/>
    </row>
    <row r="2710" spans="1:1" s="90" customFormat="1">
      <c r="A2710" s="123"/>
    </row>
    <row r="2711" spans="1:1" s="90" customFormat="1">
      <c r="A2711" s="123"/>
    </row>
    <row r="2712" spans="1:1" s="90" customFormat="1">
      <c r="A2712" s="123"/>
    </row>
    <row r="2713" spans="1:1" s="90" customFormat="1">
      <c r="A2713" s="123"/>
    </row>
    <row r="2714" spans="1:1" s="90" customFormat="1">
      <c r="A2714" s="123"/>
    </row>
    <row r="2715" spans="1:1" s="90" customFormat="1">
      <c r="A2715" s="123"/>
    </row>
    <row r="2716" spans="1:1" s="90" customFormat="1">
      <c r="A2716" s="123"/>
    </row>
    <row r="2717" spans="1:1" s="90" customFormat="1">
      <c r="A2717" s="123"/>
    </row>
    <row r="2718" spans="1:1" s="90" customFormat="1">
      <c r="A2718" s="123"/>
    </row>
    <row r="2719" spans="1:1" s="90" customFormat="1">
      <c r="A2719" s="123"/>
    </row>
    <row r="2720" spans="1:1" s="90" customFormat="1">
      <c r="A2720" s="123"/>
    </row>
    <row r="2721" spans="1:1" s="90" customFormat="1">
      <c r="A2721" s="123"/>
    </row>
    <row r="2722" spans="1:1" s="90" customFormat="1">
      <c r="A2722" s="123"/>
    </row>
    <row r="2723" spans="1:1" s="90" customFormat="1">
      <c r="A2723" s="123"/>
    </row>
    <row r="2724" spans="1:1" s="90" customFormat="1">
      <c r="A2724" s="123"/>
    </row>
    <row r="2725" spans="1:1" s="90" customFormat="1">
      <c r="A2725" s="123"/>
    </row>
    <row r="2726" spans="1:1" s="90" customFormat="1">
      <c r="A2726" s="123"/>
    </row>
    <row r="2727" spans="1:1" s="90" customFormat="1">
      <c r="A2727" s="123"/>
    </row>
    <row r="2728" spans="1:1" s="90" customFormat="1">
      <c r="A2728" s="123"/>
    </row>
    <row r="2729" spans="1:1" s="90" customFormat="1">
      <c r="A2729" s="123"/>
    </row>
    <row r="2730" spans="1:1" s="90" customFormat="1">
      <c r="A2730" s="123"/>
    </row>
    <row r="2731" spans="1:1" s="90" customFormat="1">
      <c r="A2731" s="123"/>
    </row>
    <row r="2732" spans="1:1" s="90" customFormat="1">
      <c r="A2732" s="123"/>
    </row>
    <row r="2733" spans="1:1" s="90" customFormat="1">
      <c r="A2733" s="123"/>
    </row>
    <row r="2734" spans="1:1" s="90" customFormat="1">
      <c r="A2734" s="123"/>
    </row>
    <row r="2735" spans="1:1" s="90" customFormat="1">
      <c r="A2735" s="123"/>
    </row>
    <row r="2736" spans="1:1" s="90" customFormat="1">
      <c r="A2736" s="123"/>
    </row>
    <row r="2737" spans="1:1" s="90" customFormat="1">
      <c r="A2737" s="123"/>
    </row>
    <row r="2738" spans="1:1" s="90" customFormat="1">
      <c r="A2738" s="123"/>
    </row>
    <row r="2739" spans="1:1" s="90" customFormat="1">
      <c r="A2739" s="123"/>
    </row>
    <row r="2740" spans="1:1" s="90" customFormat="1">
      <c r="A2740" s="123"/>
    </row>
    <row r="2741" spans="1:1" s="90" customFormat="1">
      <c r="A2741" s="123"/>
    </row>
    <row r="2742" spans="1:1" s="90" customFormat="1">
      <c r="A2742" s="123"/>
    </row>
    <row r="2743" spans="1:1" s="90" customFormat="1">
      <c r="A2743" s="123"/>
    </row>
    <row r="2744" spans="1:1" s="90" customFormat="1">
      <c r="A2744" s="123"/>
    </row>
    <row r="2745" spans="1:1" s="90" customFormat="1">
      <c r="A2745" s="123"/>
    </row>
    <row r="2746" spans="1:1" s="90" customFormat="1">
      <c r="A2746" s="123"/>
    </row>
    <row r="2747" spans="1:1" s="90" customFormat="1">
      <c r="A2747" s="123"/>
    </row>
    <row r="2748" spans="1:1" s="90" customFormat="1">
      <c r="A2748" s="123"/>
    </row>
    <row r="2749" spans="1:1" s="90" customFormat="1">
      <c r="A2749" s="123"/>
    </row>
    <row r="2750" spans="1:1" s="90" customFormat="1">
      <c r="A2750" s="123"/>
    </row>
    <row r="2751" spans="1:1" s="90" customFormat="1">
      <c r="A2751" s="123"/>
    </row>
    <row r="2752" spans="1:1" s="90" customFormat="1">
      <c r="A2752" s="123"/>
    </row>
    <row r="2753" spans="1:1" s="90" customFormat="1">
      <c r="A2753" s="123"/>
    </row>
    <row r="2754" spans="1:1" s="90" customFormat="1">
      <c r="A2754" s="123"/>
    </row>
    <row r="2755" spans="1:1" s="90" customFormat="1">
      <c r="A2755" s="123"/>
    </row>
    <row r="2756" spans="1:1" s="90" customFormat="1">
      <c r="A2756" s="123"/>
    </row>
    <row r="2757" spans="1:1" s="90" customFormat="1">
      <c r="A2757" s="123"/>
    </row>
    <row r="2758" spans="1:1" s="90" customFormat="1">
      <c r="A2758" s="123"/>
    </row>
    <row r="2759" spans="1:1" s="90" customFormat="1">
      <c r="A2759" s="123"/>
    </row>
    <row r="2760" spans="1:1" s="90" customFormat="1">
      <c r="A2760" s="123"/>
    </row>
    <row r="2761" spans="1:1" s="90" customFormat="1">
      <c r="A2761" s="123"/>
    </row>
    <row r="2762" spans="1:1" s="90" customFormat="1">
      <c r="A2762" s="123"/>
    </row>
    <row r="2763" spans="1:1" s="90" customFormat="1">
      <c r="A2763" s="123"/>
    </row>
    <row r="2764" spans="1:1" s="90" customFormat="1">
      <c r="A2764" s="123"/>
    </row>
    <row r="2765" spans="1:1" s="90" customFormat="1">
      <c r="A2765" s="123"/>
    </row>
    <row r="2766" spans="1:1" s="90" customFormat="1">
      <c r="A2766" s="123"/>
    </row>
    <row r="2767" spans="1:1" s="90" customFormat="1">
      <c r="A2767" s="123"/>
    </row>
    <row r="2768" spans="1:1" s="90" customFormat="1">
      <c r="A2768" s="123"/>
    </row>
    <row r="2769" spans="1:1" s="90" customFormat="1">
      <c r="A2769" s="123"/>
    </row>
    <row r="2770" spans="1:1" s="90" customFormat="1">
      <c r="A2770" s="123"/>
    </row>
    <row r="2771" spans="1:1" s="90" customFormat="1">
      <c r="A2771" s="123"/>
    </row>
    <row r="2772" spans="1:1" s="90" customFormat="1">
      <c r="A2772" s="123"/>
    </row>
    <row r="2773" spans="1:1" s="90" customFormat="1">
      <c r="A2773" s="123"/>
    </row>
    <row r="2774" spans="1:1" s="90" customFormat="1">
      <c r="A2774" s="123"/>
    </row>
    <row r="2775" spans="1:1" s="90" customFormat="1">
      <c r="A2775" s="123"/>
    </row>
    <row r="2776" spans="1:1" s="90" customFormat="1">
      <c r="A2776" s="123"/>
    </row>
    <row r="2777" spans="1:1" s="90" customFormat="1">
      <c r="A2777" s="123"/>
    </row>
    <row r="2778" spans="1:1" s="90" customFormat="1">
      <c r="A2778" s="123"/>
    </row>
    <row r="2779" spans="1:1" s="90" customFormat="1">
      <c r="A2779" s="123"/>
    </row>
    <row r="2780" spans="1:1" s="90" customFormat="1">
      <c r="A2780" s="123"/>
    </row>
    <row r="2781" spans="1:1" s="90" customFormat="1">
      <c r="A2781" s="123"/>
    </row>
    <row r="2782" spans="1:1" s="90" customFormat="1">
      <c r="A2782" s="123"/>
    </row>
    <row r="2783" spans="1:1" s="90" customFormat="1">
      <c r="A2783" s="123"/>
    </row>
    <row r="2784" spans="1:1" s="90" customFormat="1">
      <c r="A2784" s="123"/>
    </row>
    <row r="2785" spans="1:1" s="90" customFormat="1">
      <c r="A2785" s="123"/>
    </row>
    <row r="2786" spans="1:1" s="90" customFormat="1">
      <c r="A2786" s="123"/>
    </row>
    <row r="2787" spans="1:1" s="90" customFormat="1">
      <c r="A2787" s="123"/>
    </row>
    <row r="2788" spans="1:1" s="90" customFormat="1">
      <c r="A2788" s="123"/>
    </row>
    <row r="2789" spans="1:1" s="90" customFormat="1">
      <c r="A2789" s="123"/>
    </row>
    <row r="2790" spans="1:1" s="90" customFormat="1">
      <c r="A2790" s="123"/>
    </row>
    <row r="2791" spans="1:1" s="90" customFormat="1">
      <c r="A2791" s="123"/>
    </row>
    <row r="2792" spans="1:1" s="90" customFormat="1">
      <c r="A2792" s="123"/>
    </row>
    <row r="2793" spans="1:1" s="90" customFormat="1">
      <c r="A2793" s="123"/>
    </row>
    <row r="2794" spans="1:1" s="90" customFormat="1">
      <c r="A2794" s="123"/>
    </row>
    <row r="2795" spans="1:1" s="90" customFormat="1">
      <c r="A2795" s="123"/>
    </row>
    <row r="2796" spans="1:1" s="90" customFormat="1">
      <c r="A2796" s="123"/>
    </row>
    <row r="2797" spans="1:1" s="90" customFormat="1">
      <c r="A2797" s="123"/>
    </row>
    <row r="2798" spans="1:1" s="90" customFormat="1">
      <c r="A2798" s="123"/>
    </row>
    <row r="2799" spans="1:1" s="90" customFormat="1">
      <c r="A2799" s="123"/>
    </row>
    <row r="2800" spans="1:1" s="90" customFormat="1">
      <c r="A2800" s="123"/>
    </row>
    <row r="2801" spans="1:1" s="90" customFormat="1">
      <c r="A2801" s="123"/>
    </row>
    <row r="2802" spans="1:1" s="90" customFormat="1">
      <c r="A2802" s="123"/>
    </row>
    <row r="2803" spans="1:1" s="90" customFormat="1">
      <c r="A2803" s="123"/>
    </row>
    <row r="2804" spans="1:1" s="90" customFormat="1">
      <c r="A2804" s="123"/>
    </row>
    <row r="2805" spans="1:1" s="90" customFormat="1">
      <c r="A2805" s="123"/>
    </row>
    <row r="2806" spans="1:1" s="90" customFormat="1">
      <c r="A2806" s="123"/>
    </row>
    <row r="2807" spans="1:1" s="90" customFormat="1">
      <c r="A2807" s="123"/>
    </row>
    <row r="2808" spans="1:1" s="90" customFormat="1">
      <c r="A2808" s="123"/>
    </row>
    <row r="2809" spans="1:1" s="90" customFormat="1">
      <c r="A2809" s="123"/>
    </row>
    <row r="2810" spans="1:1" s="90" customFormat="1">
      <c r="A2810" s="123"/>
    </row>
    <row r="2811" spans="1:1" s="90" customFormat="1">
      <c r="A2811" s="123"/>
    </row>
    <row r="2812" spans="1:1" s="90" customFormat="1">
      <c r="A2812" s="123"/>
    </row>
    <row r="2813" spans="1:1" s="90" customFormat="1">
      <c r="A2813" s="123"/>
    </row>
    <row r="2814" spans="1:1" s="90" customFormat="1">
      <c r="A2814" s="123"/>
    </row>
    <row r="2815" spans="1:1" s="90" customFormat="1">
      <c r="A2815" s="123"/>
    </row>
    <row r="2816" spans="1:1" s="90" customFormat="1">
      <c r="A2816" s="123"/>
    </row>
    <row r="2817" spans="1:1" s="90" customFormat="1">
      <c r="A2817" s="123"/>
    </row>
    <row r="2818" spans="1:1" s="90" customFormat="1">
      <c r="A2818" s="123"/>
    </row>
    <row r="2819" spans="1:1" s="90" customFormat="1">
      <c r="A2819" s="123"/>
    </row>
    <row r="2820" spans="1:1" s="90" customFormat="1">
      <c r="A2820" s="123"/>
    </row>
    <row r="2821" spans="1:1" s="90" customFormat="1">
      <c r="A2821" s="123"/>
    </row>
    <row r="2822" spans="1:1" s="90" customFormat="1">
      <c r="A2822" s="123"/>
    </row>
    <row r="2823" spans="1:1" s="90" customFormat="1">
      <c r="A2823" s="123"/>
    </row>
    <row r="2824" spans="1:1" s="90" customFormat="1">
      <c r="A2824" s="123"/>
    </row>
    <row r="2825" spans="1:1" s="90" customFormat="1">
      <c r="A2825" s="123"/>
    </row>
    <row r="2826" spans="1:1" s="90" customFormat="1">
      <c r="A2826" s="123"/>
    </row>
    <row r="2827" spans="1:1" s="90" customFormat="1">
      <c r="A2827" s="123"/>
    </row>
    <row r="2828" spans="1:1" s="90" customFormat="1">
      <c r="A2828" s="123"/>
    </row>
    <row r="2829" spans="1:1" s="90" customFormat="1">
      <c r="A2829" s="123"/>
    </row>
    <row r="2830" spans="1:1" s="90" customFormat="1">
      <c r="A2830" s="123"/>
    </row>
    <row r="2831" spans="1:1" s="90" customFormat="1">
      <c r="A2831" s="123"/>
    </row>
    <row r="2832" spans="1:1" s="90" customFormat="1">
      <c r="A2832" s="123"/>
    </row>
    <row r="2833" spans="1:1" s="90" customFormat="1">
      <c r="A2833" s="123"/>
    </row>
    <row r="2834" spans="1:1" s="90" customFormat="1">
      <c r="A2834" s="123"/>
    </row>
    <row r="2835" spans="1:1" s="90" customFormat="1">
      <c r="A2835" s="123"/>
    </row>
    <row r="2836" spans="1:1" s="90" customFormat="1">
      <c r="A2836" s="123"/>
    </row>
    <row r="2837" spans="1:1" s="90" customFormat="1">
      <c r="A2837" s="123"/>
    </row>
    <row r="2838" spans="1:1" s="90" customFormat="1">
      <c r="A2838" s="123"/>
    </row>
    <row r="2839" spans="1:1" s="90" customFormat="1">
      <c r="A2839" s="123"/>
    </row>
    <row r="2840" spans="1:1" s="90" customFormat="1">
      <c r="A2840" s="123"/>
    </row>
    <row r="2841" spans="1:1" s="90" customFormat="1">
      <c r="A2841" s="123"/>
    </row>
    <row r="2842" spans="1:1" s="90" customFormat="1">
      <c r="A2842" s="123"/>
    </row>
    <row r="2843" spans="1:1" s="90" customFormat="1">
      <c r="A2843" s="123"/>
    </row>
    <row r="2844" spans="1:1" s="90" customFormat="1">
      <c r="A2844" s="123"/>
    </row>
    <row r="2845" spans="1:1" s="90" customFormat="1">
      <c r="A2845" s="123"/>
    </row>
    <row r="2846" spans="1:1" s="90" customFormat="1">
      <c r="A2846" s="123"/>
    </row>
    <row r="2847" spans="1:1" s="90" customFormat="1">
      <c r="A2847" s="123"/>
    </row>
    <row r="2848" spans="1:1" s="90" customFormat="1">
      <c r="A2848" s="123"/>
    </row>
    <row r="2849" spans="1:1" s="90" customFormat="1">
      <c r="A2849" s="123"/>
    </row>
    <row r="2850" spans="1:1" s="90" customFormat="1">
      <c r="A2850" s="123"/>
    </row>
    <row r="2851" spans="1:1" s="90" customFormat="1">
      <c r="A2851" s="123"/>
    </row>
    <row r="2852" spans="1:1" s="90" customFormat="1">
      <c r="A2852" s="123"/>
    </row>
    <row r="2853" spans="1:1" s="90" customFormat="1">
      <c r="A2853" s="123"/>
    </row>
    <row r="2854" spans="1:1" s="90" customFormat="1">
      <c r="A2854" s="123"/>
    </row>
    <row r="2855" spans="1:1" s="90" customFormat="1">
      <c r="A2855" s="123"/>
    </row>
    <row r="2856" spans="1:1" s="90" customFormat="1">
      <c r="A2856" s="123"/>
    </row>
    <row r="2857" spans="1:1" s="90" customFormat="1">
      <c r="A2857" s="123"/>
    </row>
    <row r="2858" spans="1:1" s="90" customFormat="1">
      <c r="A2858" s="123"/>
    </row>
    <row r="2859" spans="1:1" s="90" customFormat="1">
      <c r="A2859" s="123"/>
    </row>
    <row r="2860" spans="1:1" s="90" customFormat="1">
      <c r="A2860" s="123"/>
    </row>
    <row r="2861" spans="1:1" s="90" customFormat="1">
      <c r="A2861" s="123"/>
    </row>
    <row r="2862" spans="1:1" s="90" customFormat="1">
      <c r="A2862" s="123"/>
    </row>
    <row r="2863" spans="1:1" s="90" customFormat="1">
      <c r="A2863" s="123"/>
    </row>
    <row r="2866" spans="1:18">
      <c r="A2866" s="1054"/>
      <c r="B2866" s="122"/>
      <c r="C2866" s="122"/>
      <c r="D2866" s="122"/>
      <c r="E2866" s="122"/>
      <c r="F2866" s="122"/>
      <c r="G2866" s="122"/>
      <c r="H2866" s="122"/>
      <c r="I2866" s="122"/>
      <c r="J2866" s="122"/>
      <c r="K2866" s="122"/>
      <c r="L2866" s="122"/>
      <c r="M2866" s="122"/>
      <c r="N2866" s="122"/>
      <c r="O2866" s="122"/>
      <c r="P2866" s="122"/>
      <c r="Q2866" s="122"/>
    </row>
    <row r="2867" spans="1:18">
      <c r="A2867" s="1054"/>
      <c r="B2867" s="122"/>
      <c r="C2867" s="122"/>
      <c r="D2867" s="122"/>
      <c r="E2867" s="122"/>
      <c r="F2867" s="122"/>
      <c r="G2867" s="122"/>
      <c r="H2867" s="122"/>
      <c r="I2867" s="122"/>
      <c r="J2867" s="122"/>
      <c r="K2867" s="122"/>
      <c r="L2867" s="122"/>
      <c r="M2867" s="122"/>
      <c r="N2867" s="122"/>
      <c r="O2867" s="122"/>
      <c r="P2867" s="122"/>
      <c r="Q2867" s="122"/>
    </row>
    <row r="2868" spans="1:18" ht="15.75">
      <c r="A2868" s="362"/>
      <c r="B2868" s="362"/>
      <c r="C2868" s="362"/>
      <c r="D2868" s="362"/>
      <c r="E2868" s="362"/>
      <c r="F2868" s="362"/>
      <c r="G2868" s="362"/>
      <c r="H2868" s="362"/>
      <c r="I2868" s="1057">
        <v>450</v>
      </c>
      <c r="J2868" s="362"/>
      <c r="K2868" s="362"/>
      <c r="L2868" s="362"/>
      <c r="M2868" s="362"/>
      <c r="N2868" s="362"/>
      <c r="O2868" s="362"/>
      <c r="P2868" s="362"/>
      <c r="Q2868" s="362"/>
    </row>
    <row r="2869" spans="1:18">
      <c r="A2869" s="1058"/>
      <c r="B2869" s="1059"/>
      <c r="C2869" s="1058"/>
      <c r="D2869" s="1058"/>
      <c r="E2869" s="1059"/>
      <c r="F2869" s="1059"/>
      <c r="G2869" s="1060"/>
      <c r="H2869" s="1059" t="s">
        <v>658</v>
      </c>
      <c r="I2869" s="1059" t="s">
        <v>657</v>
      </c>
      <c r="J2869" s="1059"/>
      <c r="K2869" s="1059"/>
      <c r="L2869" s="1061"/>
      <c r="M2869" s="1061"/>
      <c r="N2869" s="1061"/>
      <c r="O2869" s="1062"/>
      <c r="P2869" s="1060"/>
      <c r="Q2869" s="1058"/>
      <c r="R2869" s="1063"/>
    </row>
    <row r="2870" spans="1:18">
      <c r="A2870" s="1058" t="s">
        <v>661</v>
      </c>
      <c r="B2870" s="1064">
        <f>+I251</f>
        <v>112000</v>
      </c>
      <c r="C2870" s="1065">
        <f ca="1">+I260</f>
        <v>40000</v>
      </c>
      <c r="D2870" s="1058"/>
      <c r="E2870" s="1058">
        <v>11</v>
      </c>
      <c r="F2870" s="1066"/>
      <c r="G2870" s="1059" t="s">
        <v>656</v>
      </c>
      <c r="H2870" s="1067">
        <v>44181</v>
      </c>
      <c r="I2870" s="1059">
        <f>+I2868</f>
        <v>450</v>
      </c>
      <c r="J2870" s="1068">
        <f>+H2870+I2870</f>
        <v>44631</v>
      </c>
      <c r="K2870" s="1064">
        <f>+B2870</f>
        <v>112000</v>
      </c>
      <c r="L2870" s="1069">
        <f>+L2868</f>
        <v>0</v>
      </c>
      <c r="M2870" s="1069">
        <f>+K2870*L2870/100</f>
        <v>0</v>
      </c>
      <c r="N2870" s="1069">
        <f>+K2870+M2870</f>
        <v>112000</v>
      </c>
      <c r="O2870" s="1070">
        <f ca="1">IF(+TODAY()&gt;=J2870,0,+M2870)</f>
        <v>0</v>
      </c>
      <c r="P2870" s="1071">
        <f ca="1">ROUND(O2870,0)</f>
        <v>0</v>
      </c>
      <c r="Q2870" s="1058"/>
      <c r="R2870" s="1063"/>
    </row>
    <row r="2871" spans="1:18" s="90" customFormat="1">
      <c r="A2871" s="1058"/>
      <c r="B2871" s="1064"/>
      <c r="C2871" s="1065"/>
      <c r="D2871" s="1058"/>
      <c r="E2871" s="1058"/>
      <c r="F2871" s="1066"/>
      <c r="G2871" s="1059"/>
      <c r="H2871" s="1067"/>
      <c r="I2871" s="1059"/>
      <c r="J2871" s="1068"/>
      <c r="K2871" s="1064"/>
      <c r="L2871" s="1069"/>
      <c r="M2871" s="1069"/>
      <c r="N2871" s="1069"/>
      <c r="O2871" s="1070"/>
      <c r="P2871" s="1071"/>
      <c r="Q2871" s="1058"/>
      <c r="R2871" s="1063"/>
    </row>
    <row r="2872" spans="1:18" s="90" customFormat="1">
      <c r="A2872" s="1058"/>
      <c r="B2872" s="1064"/>
      <c r="C2872" s="1065"/>
      <c r="D2872" s="1058"/>
      <c r="E2872" s="1058"/>
      <c r="F2872" s="1066"/>
      <c r="G2872" s="1059"/>
      <c r="H2872" s="1067"/>
      <c r="I2872" s="1059"/>
      <c r="J2872" s="1068"/>
      <c r="K2872" s="1064"/>
      <c r="L2872" s="1069"/>
      <c r="M2872" s="1069"/>
      <c r="N2872" s="1069"/>
      <c r="O2872" s="1070"/>
      <c r="P2872" s="1071"/>
      <c r="Q2872" s="1058"/>
      <c r="R2872" s="1063"/>
    </row>
    <row r="2873" spans="1:18" s="90" customFormat="1">
      <c r="A2873" s="1058"/>
      <c r="B2873" s="1064"/>
      <c r="C2873" s="1065"/>
      <c r="D2873" s="1058"/>
      <c r="E2873" s="1058"/>
      <c r="F2873" s="1066"/>
      <c r="G2873" s="1059"/>
      <c r="H2873" s="1067"/>
      <c r="I2873" s="1059"/>
      <c r="J2873" s="1068"/>
      <c r="K2873" s="1064"/>
      <c r="L2873" s="1069"/>
      <c r="M2873" s="1069"/>
      <c r="N2873" s="1069"/>
      <c r="O2873" s="1070"/>
      <c r="P2873" s="1071"/>
      <c r="Q2873" s="1058"/>
      <c r="R2873" s="1063"/>
    </row>
    <row r="2874" spans="1:18" s="90" customFormat="1">
      <c r="A2874" s="1058"/>
      <c r="B2874" s="1064"/>
      <c r="C2874" s="1065"/>
      <c r="D2874" s="1058"/>
      <c r="E2874" s="1058"/>
      <c r="F2874" s="1066"/>
      <c r="G2874" s="1059"/>
      <c r="H2874" s="1067"/>
      <c r="I2874" s="1059"/>
      <c r="J2874" s="1068"/>
      <c r="K2874" s="1064"/>
      <c r="L2874" s="1069"/>
      <c r="M2874" s="1069"/>
      <c r="N2874" s="1069"/>
      <c r="O2874" s="1070"/>
      <c r="P2874" s="1071"/>
      <c r="Q2874" s="1058"/>
      <c r="R2874" s="1063"/>
    </row>
    <row r="2875" spans="1:18" s="90" customFormat="1">
      <c r="A2875" s="1058"/>
      <c r="B2875" s="1064"/>
      <c r="C2875" s="1065"/>
      <c r="D2875" s="1058"/>
      <c r="E2875" s="1058"/>
      <c r="F2875" s="1066"/>
      <c r="G2875" s="1059"/>
      <c r="H2875" s="1067"/>
      <c r="I2875" s="1059"/>
      <c r="J2875" s="1068"/>
      <c r="K2875" s="1064"/>
      <c r="L2875" s="1069"/>
      <c r="M2875" s="1069"/>
      <c r="N2875" s="1069"/>
      <c r="O2875" s="1070"/>
      <c r="P2875" s="1071"/>
      <c r="Q2875" s="1058"/>
      <c r="R2875" s="1063"/>
    </row>
    <row r="2876" spans="1:18" s="90" customFormat="1">
      <c r="A2876" s="1058"/>
      <c r="B2876" s="1064"/>
      <c r="C2876" s="1065"/>
      <c r="D2876" s="1058"/>
      <c r="E2876" s="1058"/>
      <c r="F2876" s="1066"/>
      <c r="G2876" s="1059"/>
      <c r="H2876" s="1067"/>
      <c r="I2876" s="1059"/>
      <c r="J2876" s="1068"/>
      <c r="K2876" s="1064"/>
      <c r="L2876" s="1069"/>
      <c r="M2876" s="1069"/>
      <c r="N2876" s="1069"/>
      <c r="O2876" s="1070"/>
      <c r="P2876" s="1071"/>
      <c r="Q2876" s="1058"/>
      <c r="R2876" s="1063"/>
    </row>
    <row r="2877" spans="1:18" s="90" customFormat="1">
      <c r="A2877" s="1058"/>
      <c r="B2877" s="1064"/>
      <c r="C2877" s="1065"/>
      <c r="D2877" s="1058"/>
      <c r="E2877" s="1058"/>
      <c r="F2877" s="1066"/>
      <c r="G2877" s="1059"/>
      <c r="H2877" s="1067"/>
      <c r="I2877" s="1059"/>
      <c r="J2877" s="1068"/>
      <c r="K2877" s="1064"/>
      <c r="L2877" s="1069"/>
      <c r="M2877" s="1069"/>
      <c r="N2877" s="1069"/>
      <c r="O2877" s="1070"/>
      <c r="P2877" s="1071"/>
      <c r="Q2877" s="1058"/>
      <c r="R2877" s="1063"/>
    </row>
    <row r="2878" spans="1:18" s="90" customFormat="1">
      <c r="A2878" s="1058"/>
      <c r="B2878" s="1064"/>
      <c r="C2878" s="1065"/>
      <c r="D2878" s="1058"/>
      <c r="E2878" s="1058"/>
      <c r="F2878" s="1066"/>
      <c r="G2878" s="1059"/>
      <c r="H2878" s="1067"/>
      <c r="I2878" s="1059"/>
      <c r="J2878" s="1068"/>
      <c r="K2878" s="1064"/>
      <c r="L2878" s="1069"/>
      <c r="M2878" s="1069"/>
      <c r="N2878" s="1069"/>
      <c r="O2878" s="1070"/>
      <c r="P2878" s="1071"/>
      <c r="Q2878" s="1058"/>
      <c r="R2878" s="1063"/>
    </row>
    <row r="2879" spans="1:18" s="90" customFormat="1">
      <c r="A2879" s="1058"/>
      <c r="B2879" s="1064"/>
      <c r="C2879" s="1065"/>
      <c r="D2879" s="1058"/>
      <c r="E2879" s="1058"/>
      <c r="F2879" s="1066"/>
      <c r="G2879" s="1059"/>
      <c r="H2879" s="1067"/>
      <c r="I2879" s="1059"/>
      <c r="J2879" s="1068"/>
      <c r="K2879" s="1064"/>
      <c r="L2879" s="1069"/>
      <c r="M2879" s="1069"/>
      <c r="N2879" s="1069"/>
      <c r="O2879" s="1070"/>
      <c r="P2879" s="1071"/>
      <c r="Q2879" s="1058"/>
      <c r="R2879" s="1063"/>
    </row>
    <row r="2880" spans="1:18" s="90" customFormat="1">
      <c r="A2880" s="1058"/>
      <c r="B2880" s="1064"/>
      <c r="C2880" s="1065"/>
      <c r="D2880" s="1058"/>
      <c r="E2880" s="1058"/>
      <c r="F2880" s="1066"/>
      <c r="G2880" s="1059"/>
      <c r="H2880" s="1067"/>
      <c r="I2880" s="1059"/>
      <c r="J2880" s="1068"/>
      <c r="K2880" s="1064"/>
      <c r="L2880" s="1069"/>
      <c r="M2880" s="1069"/>
      <c r="N2880" s="1069"/>
      <c r="O2880" s="1070"/>
      <c r="P2880" s="1071"/>
      <c r="Q2880" s="1058"/>
      <c r="R2880" s="1063"/>
    </row>
    <row r="2881" spans="1:18" s="90" customFormat="1">
      <c r="A2881" s="1058"/>
      <c r="B2881" s="1064"/>
      <c r="C2881" s="1065"/>
      <c r="D2881" s="1058"/>
      <c r="E2881" s="1058"/>
      <c r="F2881" s="1066"/>
      <c r="G2881" s="1059"/>
      <c r="H2881" s="1067"/>
      <c r="I2881" s="1059"/>
      <c r="J2881" s="1068"/>
      <c r="K2881" s="1064"/>
      <c r="L2881" s="1069"/>
      <c r="M2881" s="1069"/>
      <c r="N2881" s="1069"/>
      <c r="O2881" s="1070"/>
      <c r="P2881" s="1071"/>
      <c r="Q2881" s="1058"/>
      <c r="R2881" s="1063"/>
    </row>
    <row r="2882" spans="1:18" s="90" customFormat="1">
      <c r="A2882" s="1058"/>
      <c r="B2882" s="1064"/>
      <c r="C2882" s="1065"/>
      <c r="D2882" s="1058"/>
      <c r="E2882" s="1058"/>
      <c r="F2882" s="1066"/>
      <c r="G2882" s="1059"/>
      <c r="H2882" s="1067"/>
      <c r="I2882" s="1059"/>
      <c r="J2882" s="1068"/>
      <c r="K2882" s="1064"/>
      <c r="L2882" s="1069"/>
      <c r="M2882" s="1069"/>
      <c r="N2882" s="1069"/>
      <c r="O2882" s="1070"/>
      <c r="P2882" s="1071"/>
      <c r="Q2882" s="1058"/>
      <c r="R2882" s="1063"/>
    </row>
    <row r="2883" spans="1:18" s="90" customFormat="1">
      <c r="A2883" s="1058"/>
      <c r="B2883" s="1064"/>
      <c r="C2883" s="1065"/>
      <c r="D2883" s="1058"/>
      <c r="E2883" s="1058"/>
      <c r="F2883" s="1066"/>
      <c r="G2883" s="1059"/>
      <c r="H2883" s="1067"/>
      <c r="I2883" s="1059"/>
      <c r="J2883" s="1068"/>
      <c r="K2883" s="1064"/>
      <c r="L2883" s="1069"/>
      <c r="M2883" s="1069"/>
      <c r="N2883" s="1069"/>
      <c r="O2883" s="1070"/>
      <c r="P2883" s="1071"/>
      <c r="Q2883" s="1058"/>
      <c r="R2883" s="1063"/>
    </row>
    <row r="2884" spans="1:18" s="90" customFormat="1">
      <c r="A2884" s="1058"/>
      <c r="B2884" s="1064"/>
      <c r="C2884" s="1065"/>
      <c r="D2884" s="1058"/>
      <c r="E2884" s="1058"/>
      <c r="F2884" s="1066"/>
      <c r="G2884" s="1059"/>
      <c r="H2884" s="1067"/>
      <c r="I2884" s="1059"/>
      <c r="J2884" s="1068"/>
      <c r="K2884" s="1064"/>
      <c r="L2884" s="1069"/>
      <c r="M2884" s="1069"/>
      <c r="N2884" s="1069"/>
      <c r="O2884" s="1070"/>
      <c r="P2884" s="1071"/>
      <c r="Q2884" s="1058"/>
      <c r="R2884" s="1063"/>
    </row>
    <row r="2885" spans="1:18" s="90" customFormat="1">
      <c r="A2885" s="1058"/>
      <c r="B2885" s="1064"/>
      <c r="C2885" s="1065"/>
      <c r="D2885" s="1058"/>
      <c r="E2885" s="1058"/>
      <c r="F2885" s="1066"/>
      <c r="G2885" s="1059"/>
      <c r="H2885" s="1067"/>
      <c r="I2885" s="1059"/>
      <c r="J2885" s="1068"/>
      <c r="K2885" s="1064"/>
      <c r="L2885" s="1069"/>
      <c r="M2885" s="1069"/>
      <c r="N2885" s="1069"/>
      <c r="O2885" s="1070"/>
      <c r="P2885" s="1071"/>
      <c r="Q2885" s="1058"/>
      <c r="R2885" s="1063"/>
    </row>
    <row r="2886" spans="1:18" s="90" customFormat="1">
      <c r="A2886" s="1058"/>
      <c r="B2886" s="1064"/>
      <c r="C2886" s="1065"/>
      <c r="D2886" s="1058"/>
      <c r="E2886" s="1058"/>
      <c r="F2886" s="1066"/>
      <c r="G2886" s="1059"/>
      <c r="H2886" s="1067"/>
      <c r="I2886" s="1059"/>
      <c r="J2886" s="1068"/>
      <c r="K2886" s="1064"/>
      <c r="L2886" s="1069"/>
      <c r="M2886" s="1069"/>
      <c r="N2886" s="1069"/>
      <c r="O2886" s="1070"/>
      <c r="P2886" s="1071"/>
      <c r="Q2886" s="1058"/>
      <c r="R2886" s="1063"/>
    </row>
    <row r="2887" spans="1:18" s="90" customFormat="1">
      <c r="A2887" s="1058"/>
      <c r="B2887" s="1064"/>
      <c r="C2887" s="1065"/>
      <c r="D2887" s="1058"/>
      <c r="E2887" s="1058"/>
      <c r="F2887" s="1066"/>
      <c r="G2887" s="1059"/>
      <c r="H2887" s="1067"/>
      <c r="I2887" s="1059"/>
      <c r="J2887" s="1068"/>
      <c r="K2887" s="1064"/>
      <c r="L2887" s="1069"/>
      <c r="M2887" s="1069"/>
      <c r="N2887" s="1069"/>
      <c r="O2887" s="1070"/>
      <c r="P2887" s="1071"/>
      <c r="Q2887" s="1058"/>
      <c r="R2887" s="1063"/>
    </row>
    <row r="2888" spans="1:18" s="90" customFormat="1">
      <c r="A2888" s="1058"/>
      <c r="B2888" s="1064"/>
      <c r="C2888" s="1065"/>
      <c r="D2888" s="1058"/>
      <c r="E2888" s="1058"/>
      <c r="F2888" s="1066"/>
      <c r="G2888" s="1059"/>
      <c r="H2888" s="1067"/>
      <c r="I2888" s="1059"/>
      <c r="J2888" s="1068"/>
      <c r="K2888" s="1064"/>
      <c r="L2888" s="1069"/>
      <c r="M2888" s="1069"/>
      <c r="N2888" s="1069"/>
      <c r="O2888" s="1070"/>
      <c r="P2888" s="1071"/>
      <c r="Q2888" s="1058"/>
      <c r="R2888" s="1063"/>
    </row>
    <row r="2889" spans="1:18" s="90" customFormat="1">
      <c r="A2889" s="1058"/>
      <c r="B2889" s="1064"/>
      <c r="C2889" s="1065"/>
      <c r="D2889" s="1058"/>
      <c r="E2889" s="1058"/>
      <c r="F2889" s="1066"/>
      <c r="G2889" s="1059"/>
      <c r="H2889" s="1067"/>
      <c r="I2889" s="1059"/>
      <c r="J2889" s="1068"/>
      <c r="K2889" s="1064"/>
      <c r="L2889" s="1069"/>
      <c r="M2889" s="1069"/>
      <c r="N2889" s="1069"/>
      <c r="O2889" s="1070"/>
      <c r="P2889" s="1071"/>
      <c r="Q2889" s="1058"/>
      <c r="R2889" s="1063"/>
    </row>
    <row r="2890" spans="1:18" s="90" customFormat="1">
      <c r="A2890" s="1058"/>
      <c r="B2890" s="1064"/>
      <c r="C2890" s="1065"/>
      <c r="D2890" s="1058"/>
      <c r="E2890" s="1058"/>
      <c r="F2890" s="1066"/>
      <c r="G2890" s="1059"/>
      <c r="H2890" s="1067"/>
      <c r="I2890" s="1059"/>
      <c r="J2890" s="1068"/>
      <c r="K2890" s="1064"/>
      <c r="L2890" s="1069"/>
      <c r="M2890" s="1069"/>
      <c r="N2890" s="1069"/>
      <c r="O2890" s="1070"/>
      <c r="P2890" s="1071"/>
      <c r="Q2890" s="1058"/>
      <c r="R2890" s="1063"/>
    </row>
    <row r="2891" spans="1:18" s="90" customFormat="1">
      <c r="A2891" s="1058"/>
      <c r="B2891" s="1064"/>
      <c r="C2891" s="1065"/>
      <c r="D2891" s="1058"/>
      <c r="E2891" s="1058"/>
      <c r="F2891" s="1066"/>
      <c r="G2891" s="1059"/>
      <c r="H2891" s="1067"/>
      <c r="I2891" s="1059"/>
      <c r="J2891" s="1068"/>
      <c r="K2891" s="1064"/>
      <c r="L2891" s="1069"/>
      <c r="M2891" s="1069"/>
      <c r="N2891" s="1069"/>
      <c r="O2891" s="1070"/>
      <c r="P2891" s="1071"/>
      <c r="Q2891" s="1058"/>
      <c r="R2891" s="1063"/>
    </row>
    <row r="2892" spans="1:18" s="90" customFormat="1">
      <c r="A2892" s="1058"/>
      <c r="B2892" s="1064"/>
      <c r="C2892" s="1065"/>
      <c r="D2892" s="1058"/>
      <c r="E2892" s="1058"/>
      <c r="F2892" s="1066"/>
      <c r="G2892" s="1059"/>
      <c r="H2892" s="1067"/>
      <c r="I2892" s="1059"/>
      <c r="J2892" s="1068"/>
      <c r="K2892" s="1064"/>
      <c r="L2892" s="1069"/>
      <c r="M2892" s="1069"/>
      <c r="N2892" s="1069"/>
      <c r="O2892" s="1070"/>
      <c r="P2892" s="1071"/>
      <c r="Q2892" s="1058"/>
      <c r="R2892" s="1063"/>
    </row>
    <row r="2893" spans="1:18" s="90" customFormat="1">
      <c r="A2893" s="1058"/>
      <c r="B2893" s="1064"/>
      <c r="C2893" s="1065"/>
      <c r="D2893" s="1058"/>
      <c r="E2893" s="1058"/>
      <c r="F2893" s="1066"/>
      <c r="G2893" s="1059"/>
      <c r="H2893" s="1067"/>
      <c r="I2893" s="1059"/>
      <c r="J2893" s="1068"/>
      <c r="K2893" s="1064"/>
      <c r="L2893" s="1069"/>
      <c r="M2893" s="1069"/>
      <c r="N2893" s="1069"/>
      <c r="O2893" s="1070"/>
      <c r="P2893" s="1071"/>
      <c r="Q2893" s="1058"/>
      <c r="R2893" s="1063"/>
    </row>
    <row r="2894" spans="1:18" s="90" customFormat="1">
      <c r="A2894" s="1058"/>
      <c r="B2894" s="1064"/>
      <c r="C2894" s="1065"/>
      <c r="D2894" s="1058"/>
      <c r="E2894" s="1058"/>
      <c r="F2894" s="1066"/>
      <c r="G2894" s="1059"/>
      <c r="H2894" s="1067"/>
      <c r="I2894" s="1059"/>
      <c r="J2894" s="1068"/>
      <c r="K2894" s="1064"/>
      <c r="L2894" s="1069"/>
      <c r="M2894" s="1069"/>
      <c r="N2894" s="1069"/>
      <c r="O2894" s="1070"/>
      <c r="P2894" s="1071"/>
      <c r="Q2894" s="1058"/>
      <c r="R2894" s="1063"/>
    </row>
    <row r="2895" spans="1:18" s="90" customFormat="1">
      <c r="A2895" s="1058"/>
      <c r="B2895" s="1064"/>
      <c r="C2895" s="1065"/>
      <c r="D2895" s="1058"/>
      <c r="E2895" s="1058"/>
      <c r="F2895" s="1066"/>
      <c r="G2895" s="1059"/>
      <c r="H2895" s="1067"/>
      <c r="I2895" s="1059"/>
      <c r="J2895" s="1068"/>
      <c r="K2895" s="1064"/>
      <c r="L2895" s="1069"/>
      <c r="M2895" s="1069"/>
      <c r="N2895" s="1069"/>
      <c r="O2895" s="1070"/>
      <c r="P2895" s="1071"/>
      <c r="Q2895" s="1058"/>
      <c r="R2895" s="1063"/>
    </row>
    <row r="2896" spans="1:18" s="90" customFormat="1">
      <c r="A2896" s="1058"/>
      <c r="B2896" s="1064"/>
      <c r="C2896" s="1065"/>
      <c r="D2896" s="1058"/>
      <c r="E2896" s="1058"/>
      <c r="F2896" s="1066"/>
      <c r="G2896" s="1059"/>
      <c r="H2896" s="1067"/>
      <c r="I2896" s="1059"/>
      <c r="J2896" s="1068"/>
      <c r="K2896" s="1064"/>
      <c r="L2896" s="1069"/>
      <c r="M2896" s="1069"/>
      <c r="N2896" s="1069"/>
      <c r="O2896" s="1070"/>
      <c r="P2896" s="1071"/>
      <c r="Q2896" s="1058"/>
      <c r="R2896" s="1063"/>
    </row>
    <row r="2897" spans="1:18" s="90" customFormat="1">
      <c r="A2897" s="1058"/>
      <c r="B2897" s="1064"/>
      <c r="C2897" s="1065"/>
      <c r="D2897" s="1058"/>
      <c r="E2897" s="1058"/>
      <c r="F2897" s="1066"/>
      <c r="G2897" s="1059"/>
      <c r="H2897" s="1067"/>
      <c r="I2897" s="1059"/>
      <c r="J2897" s="1068"/>
      <c r="K2897" s="1064"/>
      <c r="L2897" s="1069"/>
      <c r="M2897" s="1069"/>
      <c r="N2897" s="1069"/>
      <c r="O2897" s="1070"/>
      <c r="P2897" s="1071"/>
      <c r="Q2897" s="1058"/>
      <c r="R2897" s="1063"/>
    </row>
    <row r="2898" spans="1:18" s="90" customFormat="1">
      <c r="A2898" s="1058"/>
      <c r="B2898" s="1064"/>
      <c r="C2898" s="1065"/>
      <c r="D2898" s="1058"/>
      <c r="E2898" s="1058"/>
      <c r="F2898" s="1066"/>
      <c r="G2898" s="1059"/>
      <c r="H2898" s="1067"/>
      <c r="I2898" s="1059"/>
      <c r="J2898" s="1068"/>
      <c r="K2898" s="1064"/>
      <c r="L2898" s="1069"/>
      <c r="M2898" s="1069"/>
      <c r="N2898" s="1069"/>
      <c r="O2898" s="1070"/>
      <c r="P2898" s="1071"/>
      <c r="Q2898" s="1058"/>
      <c r="R2898" s="1063"/>
    </row>
    <row r="2899" spans="1:18" s="90" customFormat="1">
      <c r="A2899" s="1058"/>
      <c r="B2899" s="1064"/>
      <c r="C2899" s="1065"/>
      <c r="D2899" s="1058"/>
      <c r="E2899" s="1058"/>
      <c r="F2899" s="1066"/>
      <c r="G2899" s="1059"/>
      <c r="H2899" s="1067"/>
      <c r="I2899" s="1059"/>
      <c r="J2899" s="1068"/>
      <c r="K2899" s="1064"/>
      <c r="L2899" s="1069"/>
      <c r="M2899" s="1069"/>
      <c r="N2899" s="1069"/>
      <c r="O2899" s="1070"/>
      <c r="P2899" s="1071"/>
      <c r="Q2899" s="1058"/>
      <c r="R2899" s="1063"/>
    </row>
    <row r="2900" spans="1:18" s="90" customFormat="1">
      <c r="A2900" s="1058"/>
      <c r="B2900" s="1064"/>
      <c r="C2900" s="1065"/>
      <c r="D2900" s="1058"/>
      <c r="E2900" s="1058"/>
      <c r="F2900" s="1066"/>
      <c r="G2900" s="1059"/>
      <c r="H2900" s="1067"/>
      <c r="I2900" s="1059"/>
      <c r="J2900" s="1068"/>
      <c r="K2900" s="1064"/>
      <c r="L2900" s="1069"/>
      <c r="M2900" s="1069"/>
      <c r="N2900" s="1069"/>
      <c r="O2900" s="1070"/>
      <c r="P2900" s="1071"/>
      <c r="Q2900" s="1058"/>
      <c r="R2900" s="1063"/>
    </row>
    <row r="2901" spans="1:18" s="90" customFormat="1">
      <c r="A2901" s="1058"/>
      <c r="B2901" s="1064"/>
      <c r="C2901" s="1065"/>
      <c r="D2901" s="1058"/>
      <c r="E2901" s="1058"/>
      <c r="F2901" s="1066"/>
      <c r="G2901" s="1059"/>
      <c r="H2901" s="1067"/>
      <c r="I2901" s="1059"/>
      <c r="J2901" s="1068"/>
      <c r="K2901" s="1064"/>
      <c r="L2901" s="1069"/>
      <c r="M2901" s="1069"/>
      <c r="N2901" s="1069"/>
      <c r="O2901" s="1070"/>
      <c r="P2901" s="1071"/>
      <c r="Q2901" s="1058"/>
      <c r="R2901" s="1063"/>
    </row>
    <row r="2902" spans="1:18" s="90" customFormat="1">
      <c r="A2902" s="1058"/>
      <c r="B2902" s="1064"/>
      <c r="C2902" s="1065"/>
      <c r="D2902" s="1058"/>
      <c r="E2902" s="1058"/>
      <c r="F2902" s="1066"/>
      <c r="G2902" s="1059"/>
      <c r="H2902" s="1067"/>
      <c r="I2902" s="1059"/>
      <c r="J2902" s="1068"/>
      <c r="K2902" s="1064"/>
      <c r="L2902" s="1069"/>
      <c r="M2902" s="1069"/>
      <c r="N2902" s="1069"/>
      <c r="O2902" s="1070"/>
      <c r="P2902" s="1071"/>
      <c r="Q2902" s="1058"/>
      <c r="R2902" s="1063"/>
    </row>
    <row r="2903" spans="1:18" s="90" customFormat="1">
      <c r="A2903" s="1058"/>
      <c r="B2903" s="1064"/>
      <c r="C2903" s="1065"/>
      <c r="D2903" s="1058"/>
      <c r="E2903" s="1058"/>
      <c r="F2903" s="1066"/>
      <c r="G2903" s="1059"/>
      <c r="H2903" s="1067"/>
      <c r="I2903" s="1059"/>
      <c r="J2903" s="1068"/>
      <c r="K2903" s="1064"/>
      <c r="L2903" s="1069"/>
      <c r="M2903" s="1069"/>
      <c r="N2903" s="1069"/>
      <c r="O2903" s="1070"/>
      <c r="P2903" s="1071"/>
      <c r="Q2903" s="1058"/>
      <c r="R2903" s="1063"/>
    </row>
    <row r="2904" spans="1:18" s="90" customFormat="1">
      <c r="A2904" s="1058"/>
      <c r="B2904" s="1064"/>
      <c r="C2904" s="1065"/>
      <c r="D2904" s="1058"/>
      <c r="E2904" s="1058"/>
      <c r="F2904" s="1066"/>
      <c r="G2904" s="1059"/>
      <c r="H2904" s="1067"/>
      <c r="I2904" s="1059"/>
      <c r="J2904" s="1068"/>
      <c r="K2904" s="1064"/>
      <c r="L2904" s="1069"/>
      <c r="M2904" s="1069"/>
      <c r="N2904" s="1069"/>
      <c r="O2904" s="1070"/>
      <c r="P2904" s="1071"/>
      <c r="Q2904" s="1058"/>
      <c r="R2904" s="1063"/>
    </row>
    <row r="2905" spans="1:18" s="90" customFormat="1">
      <c r="A2905" s="1058"/>
      <c r="B2905" s="1064"/>
      <c r="C2905" s="1065"/>
      <c r="D2905" s="1058"/>
      <c r="E2905" s="1058"/>
      <c r="F2905" s="1066"/>
      <c r="G2905" s="1059"/>
      <c r="H2905" s="1067"/>
      <c r="I2905" s="1059"/>
      <c r="J2905" s="1068"/>
      <c r="K2905" s="1064"/>
      <c r="L2905" s="1069"/>
      <c r="M2905" s="1069"/>
      <c r="N2905" s="1069"/>
      <c r="O2905" s="1070"/>
      <c r="P2905" s="1071"/>
      <c r="Q2905" s="1058"/>
      <c r="R2905" s="1063"/>
    </row>
    <row r="2906" spans="1:18" s="90" customFormat="1">
      <c r="A2906" s="1058"/>
      <c r="B2906" s="1064"/>
      <c r="C2906" s="1065"/>
      <c r="D2906" s="1058"/>
      <c r="E2906" s="1058"/>
      <c r="F2906" s="1066"/>
      <c r="G2906" s="1059"/>
      <c r="H2906" s="1067"/>
      <c r="I2906" s="1059"/>
      <c r="J2906" s="1068"/>
      <c r="K2906" s="1064"/>
      <c r="L2906" s="1069"/>
      <c r="M2906" s="1069"/>
      <c r="N2906" s="1069"/>
      <c r="O2906" s="1070"/>
      <c r="P2906" s="1071"/>
      <c r="Q2906" s="1058"/>
      <c r="R2906" s="1063"/>
    </row>
    <row r="2907" spans="1:18" s="90" customFormat="1">
      <c r="A2907" s="1058"/>
      <c r="B2907" s="1064"/>
      <c r="C2907" s="1065"/>
      <c r="D2907" s="1058"/>
      <c r="E2907" s="1058"/>
      <c r="F2907" s="1066"/>
      <c r="G2907" s="1059"/>
      <c r="H2907" s="1067"/>
      <c r="I2907" s="1059"/>
      <c r="J2907" s="1068"/>
      <c r="K2907" s="1064"/>
      <c r="L2907" s="1069"/>
      <c r="M2907" s="1069"/>
      <c r="N2907" s="1069"/>
      <c r="O2907" s="1070"/>
      <c r="P2907" s="1071"/>
      <c r="Q2907" s="1058"/>
      <c r="R2907" s="1063"/>
    </row>
    <row r="2908" spans="1:18" s="90" customFormat="1">
      <c r="A2908" s="1058"/>
      <c r="B2908" s="1064"/>
      <c r="C2908" s="1065"/>
      <c r="D2908" s="1058"/>
      <c r="E2908" s="1058"/>
      <c r="F2908" s="1066"/>
      <c r="G2908" s="1059"/>
      <c r="H2908" s="1067"/>
      <c r="I2908" s="1059"/>
      <c r="J2908" s="1068"/>
      <c r="K2908" s="1064"/>
      <c r="L2908" s="1069"/>
      <c r="M2908" s="1069"/>
      <c r="N2908" s="1069"/>
      <c r="O2908" s="1070"/>
      <c r="P2908" s="1071"/>
      <c r="Q2908" s="1058"/>
      <c r="R2908" s="1063"/>
    </row>
    <row r="2909" spans="1:18" s="90" customFormat="1">
      <c r="A2909" s="1058"/>
      <c r="B2909" s="1064"/>
      <c r="C2909" s="1065"/>
      <c r="D2909" s="1058"/>
      <c r="E2909" s="1058"/>
      <c r="F2909" s="1066"/>
      <c r="G2909" s="1059"/>
      <c r="H2909" s="1067"/>
      <c r="I2909" s="1059"/>
      <c r="J2909" s="1068"/>
      <c r="K2909" s="1064"/>
      <c r="L2909" s="1069"/>
      <c r="M2909" s="1069"/>
      <c r="N2909" s="1069"/>
      <c r="O2909" s="1070"/>
      <c r="P2909" s="1071"/>
      <c r="Q2909" s="1058"/>
      <c r="R2909" s="1063"/>
    </row>
    <row r="2910" spans="1:18" s="90" customFormat="1">
      <c r="A2910" s="1058"/>
      <c r="B2910" s="1064"/>
      <c r="C2910" s="1065"/>
      <c r="D2910" s="1058"/>
      <c r="E2910" s="1058"/>
      <c r="F2910" s="1066"/>
      <c r="G2910" s="1059"/>
      <c r="H2910" s="1067"/>
      <c r="I2910" s="1059"/>
      <c r="J2910" s="1068"/>
      <c r="K2910" s="1064"/>
      <c r="L2910" s="1069"/>
      <c r="M2910" s="1069"/>
      <c r="N2910" s="1069"/>
      <c r="O2910" s="1070"/>
      <c r="P2910" s="1071"/>
      <c r="Q2910" s="1058"/>
      <c r="R2910" s="1063"/>
    </row>
    <row r="2911" spans="1:18" s="90" customFormat="1">
      <c r="A2911" s="1058"/>
      <c r="B2911" s="1064"/>
      <c r="C2911" s="1065"/>
      <c r="D2911" s="1058"/>
      <c r="E2911" s="1058"/>
      <c r="F2911" s="1066"/>
      <c r="G2911" s="1059"/>
      <c r="H2911" s="1067"/>
      <c r="I2911" s="1059"/>
      <c r="J2911" s="1068"/>
      <c r="K2911" s="1064"/>
      <c r="L2911" s="1069"/>
      <c r="M2911" s="1069"/>
      <c r="N2911" s="1069"/>
      <c r="O2911" s="1070"/>
      <c r="P2911" s="1071"/>
      <c r="Q2911" s="1058"/>
      <c r="R2911" s="1063"/>
    </row>
    <row r="2912" spans="1:18" s="90" customFormat="1">
      <c r="A2912" s="1058"/>
      <c r="B2912" s="1064"/>
      <c r="C2912" s="1065"/>
      <c r="D2912" s="1058"/>
      <c r="E2912" s="1058"/>
      <c r="F2912" s="1066"/>
      <c r="G2912" s="1059"/>
      <c r="H2912" s="1067"/>
      <c r="I2912" s="1059"/>
      <c r="J2912" s="1068"/>
      <c r="K2912" s="1064"/>
      <c r="L2912" s="1069"/>
      <c r="M2912" s="1069"/>
      <c r="N2912" s="1069"/>
      <c r="O2912" s="1070"/>
      <c r="P2912" s="1071"/>
      <c r="Q2912" s="1058"/>
      <c r="R2912" s="1063"/>
    </row>
    <row r="2913" spans="1:18" s="90" customFormat="1">
      <c r="A2913" s="1058"/>
      <c r="B2913" s="1064"/>
      <c r="C2913" s="1065"/>
      <c r="D2913" s="1058"/>
      <c r="E2913" s="1058"/>
      <c r="F2913" s="1066"/>
      <c r="G2913" s="1059"/>
      <c r="H2913" s="1067"/>
      <c r="I2913" s="1059"/>
      <c r="J2913" s="1068"/>
      <c r="K2913" s="1064"/>
      <c r="L2913" s="1069"/>
      <c r="M2913" s="1069"/>
      <c r="N2913" s="1069"/>
      <c r="O2913" s="1070"/>
      <c r="P2913" s="1071"/>
      <c r="Q2913" s="1058"/>
      <c r="R2913" s="1063"/>
    </row>
    <row r="2914" spans="1:18" s="90" customFormat="1">
      <c r="A2914" s="1058"/>
      <c r="B2914" s="1064"/>
      <c r="C2914" s="1065"/>
      <c r="D2914" s="1058"/>
      <c r="E2914" s="1058"/>
      <c r="F2914" s="1066"/>
      <c r="G2914" s="1059"/>
      <c r="H2914" s="1067"/>
      <c r="I2914" s="1059"/>
      <c r="J2914" s="1068"/>
      <c r="K2914" s="1064"/>
      <c r="L2914" s="1069"/>
      <c r="M2914" s="1069"/>
      <c r="N2914" s="1069"/>
      <c r="O2914" s="1070"/>
      <c r="P2914" s="1071"/>
      <c r="Q2914" s="1058"/>
      <c r="R2914" s="1063"/>
    </row>
    <row r="2915" spans="1:18" s="90" customFormat="1">
      <c r="A2915" s="1058"/>
      <c r="B2915" s="1064"/>
      <c r="C2915" s="1065"/>
      <c r="D2915" s="1058"/>
      <c r="E2915" s="1058"/>
      <c r="F2915" s="1066"/>
      <c r="G2915" s="1059"/>
      <c r="H2915" s="1067"/>
      <c r="I2915" s="1059"/>
      <c r="J2915" s="1068"/>
      <c r="K2915" s="1064"/>
      <c r="L2915" s="1069"/>
      <c r="M2915" s="1069"/>
      <c r="N2915" s="1069"/>
      <c r="O2915" s="1070"/>
      <c r="P2915" s="1071"/>
      <c r="Q2915" s="1058"/>
      <c r="R2915" s="1063"/>
    </row>
    <row r="2916" spans="1:18" s="90" customFormat="1">
      <c r="A2916" s="1058"/>
      <c r="B2916" s="1064"/>
      <c r="C2916" s="1065"/>
      <c r="D2916" s="1058"/>
      <c r="E2916" s="1058"/>
      <c r="F2916" s="1066"/>
      <c r="G2916" s="1059"/>
      <c r="H2916" s="1067"/>
      <c r="I2916" s="1059"/>
      <c r="J2916" s="1068"/>
      <c r="K2916" s="1064"/>
      <c r="L2916" s="1069"/>
      <c r="M2916" s="1069"/>
      <c r="N2916" s="1069"/>
      <c r="O2916" s="1070"/>
      <c r="P2916" s="1071"/>
      <c r="Q2916" s="1058"/>
      <c r="R2916" s="1063"/>
    </row>
    <row r="2917" spans="1:18" s="90" customFormat="1">
      <c r="A2917" s="1058"/>
      <c r="B2917" s="1064"/>
      <c r="C2917" s="1065"/>
      <c r="D2917" s="1058"/>
      <c r="E2917" s="1058"/>
      <c r="F2917" s="1066"/>
      <c r="G2917" s="1059"/>
      <c r="H2917" s="1067"/>
      <c r="I2917" s="1059"/>
      <c r="J2917" s="1068"/>
      <c r="K2917" s="1064"/>
      <c r="L2917" s="1069"/>
      <c r="M2917" s="1069"/>
      <c r="N2917" s="1069"/>
      <c r="O2917" s="1070"/>
      <c r="P2917" s="1071"/>
      <c r="Q2917" s="1058"/>
      <c r="R2917" s="1063"/>
    </row>
    <row r="2918" spans="1:18" s="90" customFormat="1">
      <c r="A2918" s="1058"/>
      <c r="B2918" s="1064"/>
      <c r="C2918" s="1065"/>
      <c r="D2918" s="1058"/>
      <c r="E2918" s="1058"/>
      <c r="F2918" s="1066"/>
      <c r="G2918" s="1059"/>
      <c r="H2918" s="1067"/>
      <c r="I2918" s="1059"/>
      <c r="J2918" s="1068"/>
      <c r="K2918" s="1064"/>
      <c r="L2918" s="1069"/>
      <c r="M2918" s="1069"/>
      <c r="N2918" s="1069"/>
      <c r="O2918" s="1070"/>
      <c r="P2918" s="1071"/>
      <c r="Q2918" s="1058"/>
      <c r="R2918" s="1063"/>
    </row>
    <row r="2919" spans="1:18" s="90" customFormat="1">
      <c r="A2919" s="1058"/>
      <c r="B2919" s="1064"/>
      <c r="C2919" s="1065"/>
      <c r="D2919" s="1058"/>
      <c r="E2919" s="1058"/>
      <c r="F2919" s="1066"/>
      <c r="G2919" s="1059"/>
      <c r="H2919" s="1067"/>
      <c r="I2919" s="1059"/>
      <c r="J2919" s="1068"/>
      <c r="K2919" s="1064"/>
      <c r="L2919" s="1069"/>
      <c r="M2919" s="1069"/>
      <c r="N2919" s="1069"/>
      <c r="O2919" s="1070"/>
      <c r="P2919" s="1071"/>
      <c r="Q2919" s="1058"/>
      <c r="R2919" s="1063"/>
    </row>
    <row r="2920" spans="1:18" s="90" customFormat="1">
      <c r="A2920" s="1058"/>
      <c r="B2920" s="1064"/>
      <c r="C2920" s="1065"/>
      <c r="D2920" s="1058"/>
      <c r="E2920" s="1058"/>
      <c r="F2920" s="1066"/>
      <c r="G2920" s="1059"/>
      <c r="H2920" s="1067"/>
      <c r="I2920" s="1059"/>
      <c r="J2920" s="1068"/>
      <c r="K2920" s="1064"/>
      <c r="L2920" s="1069"/>
      <c r="M2920" s="1069"/>
      <c r="N2920" s="1069"/>
      <c r="O2920" s="1070"/>
      <c r="P2920" s="1071"/>
      <c r="Q2920" s="1058"/>
      <c r="R2920" s="1063"/>
    </row>
    <row r="2921" spans="1:18" s="90" customFormat="1">
      <c r="A2921" s="1058"/>
      <c r="B2921" s="1064"/>
      <c r="C2921" s="1065"/>
      <c r="D2921" s="1058"/>
      <c r="E2921" s="1058"/>
      <c r="F2921" s="1066"/>
      <c r="G2921" s="1059"/>
      <c r="H2921" s="1067"/>
      <c r="I2921" s="1059"/>
      <c r="J2921" s="1068"/>
      <c r="K2921" s="1064"/>
      <c r="L2921" s="1069"/>
      <c r="M2921" s="1069"/>
      <c r="N2921" s="1069"/>
      <c r="O2921" s="1070"/>
      <c r="P2921" s="1071"/>
      <c r="Q2921" s="1058"/>
      <c r="R2921" s="1063"/>
    </row>
    <row r="2922" spans="1:18" s="90" customFormat="1">
      <c r="A2922" s="1058"/>
      <c r="B2922" s="1064"/>
      <c r="C2922" s="1065"/>
      <c r="D2922" s="1058"/>
      <c r="E2922" s="1058"/>
      <c r="F2922" s="1066"/>
      <c r="G2922" s="1059"/>
      <c r="H2922" s="1067"/>
      <c r="I2922" s="1059"/>
      <c r="J2922" s="1068"/>
      <c r="K2922" s="1064"/>
      <c r="L2922" s="1069"/>
      <c r="M2922" s="1069"/>
      <c r="N2922" s="1069"/>
      <c r="O2922" s="1070"/>
      <c r="P2922" s="1071"/>
      <c r="Q2922" s="1058"/>
      <c r="R2922" s="1063"/>
    </row>
    <row r="2923" spans="1:18" s="90" customFormat="1">
      <c r="A2923" s="1058"/>
      <c r="B2923" s="1064"/>
      <c r="C2923" s="1065"/>
      <c r="D2923" s="1058"/>
      <c r="E2923" s="1058"/>
      <c r="F2923" s="1066"/>
      <c r="G2923" s="1059"/>
      <c r="H2923" s="1067"/>
      <c r="I2923" s="1059"/>
      <c r="J2923" s="1068"/>
      <c r="K2923" s="1064"/>
      <c r="L2923" s="1069"/>
      <c r="M2923" s="1069"/>
      <c r="N2923" s="1069"/>
      <c r="O2923" s="1070"/>
      <c r="P2923" s="1071"/>
      <c r="Q2923" s="1058"/>
      <c r="R2923" s="1063"/>
    </row>
    <row r="2924" spans="1:18" s="90" customFormat="1">
      <c r="A2924" s="1058"/>
      <c r="B2924" s="1064"/>
      <c r="C2924" s="1065"/>
      <c r="D2924" s="1058"/>
      <c r="E2924" s="1058"/>
      <c r="F2924" s="1066"/>
      <c r="G2924" s="1059"/>
      <c r="H2924" s="1067"/>
      <c r="I2924" s="1059"/>
      <c r="J2924" s="1068"/>
      <c r="K2924" s="1064"/>
      <c r="L2924" s="1069"/>
      <c r="M2924" s="1069"/>
      <c r="N2924" s="1069"/>
      <c r="O2924" s="1070"/>
      <c r="P2924" s="1071"/>
      <c r="Q2924" s="1058"/>
      <c r="R2924" s="1063"/>
    </row>
    <row r="2925" spans="1:18" s="90" customFormat="1">
      <c r="A2925" s="1058"/>
      <c r="B2925" s="1064"/>
      <c r="C2925" s="1065"/>
      <c r="D2925" s="1058"/>
      <c r="E2925" s="1058"/>
      <c r="F2925" s="1066"/>
      <c r="G2925" s="1059"/>
      <c r="H2925" s="1067"/>
      <c r="I2925" s="1059"/>
      <c r="J2925" s="1068"/>
      <c r="K2925" s="1064"/>
      <c r="L2925" s="1069"/>
      <c r="M2925" s="1069"/>
      <c r="N2925" s="1069"/>
      <c r="O2925" s="1070"/>
      <c r="P2925" s="1071"/>
      <c r="Q2925" s="1058"/>
      <c r="R2925" s="1063"/>
    </row>
    <row r="2926" spans="1:18" s="90" customFormat="1">
      <c r="A2926" s="1058"/>
      <c r="B2926" s="1064"/>
      <c r="C2926" s="1065"/>
      <c r="D2926" s="1058"/>
      <c r="E2926" s="1058"/>
      <c r="F2926" s="1066"/>
      <c r="G2926" s="1059"/>
      <c r="H2926" s="1067"/>
      <c r="I2926" s="1059"/>
      <c r="J2926" s="1068"/>
      <c r="K2926" s="1064"/>
      <c r="L2926" s="1069"/>
      <c r="M2926" s="1069"/>
      <c r="N2926" s="1069"/>
      <c r="O2926" s="1070"/>
      <c r="P2926" s="1071"/>
      <c r="Q2926" s="1058"/>
      <c r="R2926" s="1063"/>
    </row>
    <row r="2927" spans="1:18" s="90" customFormat="1">
      <c r="A2927" s="1058"/>
      <c r="B2927" s="1064"/>
      <c r="C2927" s="1065"/>
      <c r="D2927" s="1058"/>
      <c r="E2927" s="1058"/>
      <c r="F2927" s="1066"/>
      <c r="G2927" s="1059"/>
      <c r="H2927" s="1067"/>
      <c r="I2927" s="1059"/>
      <c r="J2927" s="1068"/>
      <c r="K2927" s="1064"/>
      <c r="L2927" s="1069"/>
      <c r="M2927" s="1069"/>
      <c r="N2927" s="1069"/>
      <c r="O2927" s="1070"/>
      <c r="P2927" s="1071"/>
      <c r="Q2927" s="1058"/>
      <c r="R2927" s="1063"/>
    </row>
    <row r="2928" spans="1:18" s="90" customFormat="1">
      <c r="A2928" s="1058"/>
      <c r="B2928" s="1064"/>
      <c r="C2928" s="1065"/>
      <c r="D2928" s="1058"/>
      <c r="E2928" s="1058"/>
      <c r="F2928" s="1066"/>
      <c r="G2928" s="1059"/>
      <c r="H2928" s="1067"/>
      <c r="I2928" s="1059"/>
      <c r="J2928" s="1068"/>
      <c r="K2928" s="1064"/>
      <c r="L2928" s="1069"/>
      <c r="M2928" s="1069"/>
      <c r="N2928" s="1069"/>
      <c r="O2928" s="1070"/>
      <c r="P2928" s="1071"/>
      <c r="Q2928" s="1058"/>
      <c r="R2928" s="1063"/>
    </row>
    <row r="2929" spans="1:18" s="90" customFormat="1">
      <c r="A2929" s="1058"/>
      <c r="B2929" s="1064"/>
      <c r="C2929" s="1065"/>
      <c r="D2929" s="1058"/>
      <c r="E2929" s="1058"/>
      <c r="F2929" s="1066"/>
      <c r="G2929" s="1059"/>
      <c r="H2929" s="1067"/>
      <c r="I2929" s="1059"/>
      <c r="J2929" s="1068"/>
      <c r="K2929" s="1064"/>
      <c r="L2929" s="1069"/>
      <c r="M2929" s="1069"/>
      <c r="N2929" s="1069"/>
      <c r="O2929" s="1070"/>
      <c r="P2929" s="1071"/>
      <c r="Q2929" s="1058"/>
      <c r="R2929" s="1063"/>
    </row>
    <row r="2930" spans="1:18" s="90" customFormat="1">
      <c r="A2930" s="1058"/>
      <c r="B2930" s="1064"/>
      <c r="C2930" s="1065"/>
      <c r="D2930" s="1058"/>
      <c r="E2930" s="1058"/>
      <c r="F2930" s="1066"/>
      <c r="G2930" s="1059"/>
      <c r="H2930" s="1067"/>
      <c r="I2930" s="1059"/>
      <c r="J2930" s="1068"/>
      <c r="K2930" s="1064"/>
      <c r="L2930" s="1069"/>
      <c r="M2930" s="1069"/>
      <c r="N2930" s="1069"/>
      <c r="O2930" s="1070"/>
      <c r="P2930" s="1071"/>
      <c r="Q2930" s="1058"/>
      <c r="R2930" s="1063"/>
    </row>
    <row r="2931" spans="1:18" s="90" customFormat="1">
      <c r="A2931" s="1058"/>
      <c r="B2931" s="1064"/>
      <c r="C2931" s="1065"/>
      <c r="D2931" s="1058"/>
      <c r="E2931" s="1058"/>
      <c r="F2931" s="1066"/>
      <c r="G2931" s="1059"/>
      <c r="H2931" s="1067"/>
      <c r="I2931" s="1059"/>
      <c r="J2931" s="1068"/>
      <c r="K2931" s="1064"/>
      <c r="L2931" s="1069"/>
      <c r="M2931" s="1069"/>
      <c r="N2931" s="1069"/>
      <c r="O2931" s="1070"/>
      <c r="P2931" s="1071"/>
      <c r="Q2931" s="1058"/>
      <c r="R2931" s="1063"/>
    </row>
    <row r="2932" spans="1:18" s="90" customFormat="1">
      <c r="A2932" s="1058"/>
      <c r="B2932" s="1064"/>
      <c r="C2932" s="1065"/>
      <c r="D2932" s="1058"/>
      <c r="E2932" s="1058"/>
      <c r="F2932" s="1066"/>
      <c r="G2932" s="1059"/>
      <c r="H2932" s="1067"/>
      <c r="I2932" s="1059"/>
      <c r="J2932" s="1068"/>
      <c r="K2932" s="1064"/>
      <c r="L2932" s="1069"/>
      <c r="M2932" s="1069"/>
      <c r="N2932" s="1069"/>
      <c r="O2932" s="1070"/>
      <c r="P2932" s="1071"/>
      <c r="Q2932" s="1058"/>
      <c r="R2932" s="1063"/>
    </row>
    <row r="2933" spans="1:18" s="90" customFormat="1">
      <c r="A2933" s="1058"/>
      <c r="B2933" s="1064"/>
      <c r="C2933" s="1065"/>
      <c r="D2933" s="1058"/>
      <c r="E2933" s="1058"/>
      <c r="F2933" s="1066"/>
      <c r="G2933" s="1059"/>
      <c r="H2933" s="1067"/>
      <c r="I2933" s="1059"/>
      <c r="J2933" s="1068"/>
      <c r="K2933" s="1064"/>
      <c r="L2933" s="1069"/>
      <c r="M2933" s="1069"/>
      <c r="N2933" s="1069"/>
      <c r="O2933" s="1070"/>
      <c r="P2933" s="1071"/>
      <c r="Q2933" s="1058"/>
      <c r="R2933" s="1063"/>
    </row>
    <row r="2934" spans="1:18" s="90" customFormat="1">
      <c r="A2934" s="1058"/>
      <c r="B2934" s="1064"/>
      <c r="C2934" s="1065"/>
      <c r="D2934" s="1058"/>
      <c r="E2934" s="1058"/>
      <c r="F2934" s="1066"/>
      <c r="G2934" s="1059"/>
      <c r="H2934" s="1067"/>
      <c r="I2934" s="1059"/>
      <c r="J2934" s="1068"/>
      <c r="K2934" s="1064"/>
      <c r="L2934" s="1069"/>
      <c r="M2934" s="1069"/>
      <c r="N2934" s="1069"/>
      <c r="O2934" s="1070"/>
      <c r="P2934" s="1071"/>
      <c r="Q2934" s="1058"/>
      <c r="R2934" s="1063"/>
    </row>
    <row r="2935" spans="1:18" s="90" customFormat="1">
      <c r="A2935" s="1058"/>
      <c r="B2935" s="1064"/>
      <c r="C2935" s="1065"/>
      <c r="D2935" s="1058"/>
      <c r="E2935" s="1058"/>
      <c r="F2935" s="1066"/>
      <c r="G2935" s="1059"/>
      <c r="H2935" s="1067"/>
      <c r="I2935" s="1059"/>
      <c r="J2935" s="1068"/>
      <c r="K2935" s="1064"/>
      <c r="L2935" s="1069"/>
      <c r="M2935" s="1069"/>
      <c r="N2935" s="1069"/>
      <c r="O2935" s="1070"/>
      <c r="P2935" s="1071"/>
      <c r="Q2935" s="1058"/>
      <c r="R2935" s="1063"/>
    </row>
    <row r="2936" spans="1:18" s="90" customFormat="1">
      <c r="A2936" s="1058"/>
      <c r="B2936" s="1064"/>
      <c r="C2936" s="1065"/>
      <c r="D2936" s="1058"/>
      <c r="E2936" s="1058"/>
      <c r="F2936" s="1066"/>
      <c r="G2936" s="1059"/>
      <c r="H2936" s="1067"/>
      <c r="I2936" s="1059"/>
      <c r="J2936" s="1068"/>
      <c r="K2936" s="1064"/>
      <c r="L2936" s="1069"/>
      <c r="M2936" s="1069"/>
      <c r="N2936" s="1069"/>
      <c r="O2936" s="1070"/>
      <c r="P2936" s="1071"/>
      <c r="Q2936" s="1058"/>
      <c r="R2936" s="1063"/>
    </row>
    <row r="2937" spans="1:18" s="90" customFormat="1">
      <c r="A2937" s="1058"/>
      <c r="B2937" s="1064"/>
      <c r="C2937" s="1065"/>
      <c r="D2937" s="1058"/>
      <c r="E2937" s="1058"/>
      <c r="F2937" s="1066"/>
      <c r="G2937" s="1059"/>
      <c r="H2937" s="1067"/>
      <c r="I2937" s="1059"/>
      <c r="J2937" s="1068"/>
      <c r="K2937" s="1064"/>
      <c r="L2937" s="1069"/>
      <c r="M2937" s="1069"/>
      <c r="N2937" s="1069"/>
      <c r="O2937" s="1070"/>
      <c r="P2937" s="1071"/>
      <c r="Q2937" s="1058"/>
      <c r="R2937" s="1063"/>
    </row>
    <row r="2938" spans="1:18" s="90" customFormat="1">
      <c r="A2938" s="1058"/>
      <c r="B2938" s="1064"/>
      <c r="C2938" s="1065"/>
      <c r="D2938" s="1058"/>
      <c r="E2938" s="1058"/>
      <c r="F2938" s="1066"/>
      <c r="G2938" s="1059"/>
      <c r="H2938" s="1067"/>
      <c r="I2938" s="1059"/>
      <c r="J2938" s="1068"/>
      <c r="K2938" s="1064"/>
      <c r="L2938" s="1069"/>
      <c r="M2938" s="1069"/>
      <c r="N2938" s="1069"/>
      <c r="O2938" s="1070"/>
      <c r="P2938" s="1071"/>
      <c r="Q2938" s="1058"/>
      <c r="R2938" s="1063"/>
    </row>
    <row r="2939" spans="1:18" s="90" customFormat="1">
      <c r="A2939" s="1058"/>
      <c r="B2939" s="1064"/>
      <c r="C2939" s="1065"/>
      <c r="D2939" s="1058"/>
      <c r="E2939" s="1058"/>
      <c r="F2939" s="1066"/>
      <c r="G2939" s="1059"/>
      <c r="H2939" s="1067"/>
      <c r="I2939" s="1059"/>
      <c r="J2939" s="1068"/>
      <c r="K2939" s="1064"/>
      <c r="L2939" s="1069"/>
      <c r="M2939" s="1069"/>
      <c r="N2939" s="1069"/>
      <c r="O2939" s="1070"/>
      <c r="P2939" s="1071"/>
      <c r="Q2939" s="1058"/>
      <c r="R2939" s="1063"/>
    </row>
    <row r="2940" spans="1:18" s="90" customFormat="1">
      <c r="A2940" s="1058"/>
      <c r="B2940" s="1064"/>
      <c r="C2940" s="1065"/>
      <c r="D2940" s="1058"/>
      <c r="E2940" s="1058"/>
      <c r="F2940" s="1066"/>
      <c r="G2940" s="1059"/>
      <c r="H2940" s="1067"/>
      <c r="I2940" s="1059"/>
      <c r="J2940" s="1068"/>
      <c r="K2940" s="1064"/>
      <c r="L2940" s="1069"/>
      <c r="M2940" s="1069"/>
      <c r="N2940" s="1069"/>
      <c r="O2940" s="1070"/>
      <c r="P2940" s="1071"/>
      <c r="Q2940" s="1058"/>
      <c r="R2940" s="1063"/>
    </row>
    <row r="2941" spans="1:18" s="90" customFormat="1">
      <c r="A2941" s="1058"/>
      <c r="B2941" s="1064"/>
      <c r="C2941" s="1065"/>
      <c r="D2941" s="1058"/>
      <c r="E2941" s="1058"/>
      <c r="F2941" s="1066"/>
      <c r="G2941" s="1059"/>
      <c r="H2941" s="1067"/>
      <c r="I2941" s="1059"/>
      <c r="J2941" s="1068"/>
      <c r="K2941" s="1064"/>
      <c r="L2941" s="1069"/>
      <c r="M2941" s="1069"/>
      <c r="N2941" s="1069"/>
      <c r="O2941" s="1070"/>
      <c r="P2941" s="1071"/>
      <c r="Q2941" s="1058"/>
      <c r="R2941" s="1063"/>
    </row>
    <row r="2942" spans="1:18" s="90" customFormat="1">
      <c r="A2942" s="1058"/>
      <c r="B2942" s="1064"/>
      <c r="C2942" s="1065"/>
      <c r="D2942" s="1058"/>
      <c r="E2942" s="1058"/>
      <c r="F2942" s="1066"/>
      <c r="G2942" s="1059"/>
      <c r="H2942" s="1067"/>
      <c r="I2942" s="1059"/>
      <c r="J2942" s="1068"/>
      <c r="K2942" s="1064"/>
      <c r="L2942" s="1069"/>
      <c r="M2942" s="1069"/>
      <c r="N2942" s="1069"/>
      <c r="O2942" s="1070"/>
      <c r="P2942" s="1071"/>
      <c r="Q2942" s="1058"/>
      <c r="R2942" s="1063"/>
    </row>
    <row r="2943" spans="1:18" s="90" customFormat="1">
      <c r="A2943" s="1058"/>
      <c r="B2943" s="1064"/>
      <c r="C2943" s="1065"/>
      <c r="D2943" s="1058"/>
      <c r="E2943" s="1058"/>
      <c r="F2943" s="1066"/>
      <c r="G2943" s="1059"/>
      <c r="H2943" s="1067"/>
      <c r="I2943" s="1059"/>
      <c r="J2943" s="1068"/>
      <c r="K2943" s="1064"/>
      <c r="L2943" s="1069"/>
      <c r="M2943" s="1069"/>
      <c r="N2943" s="1069"/>
      <c r="O2943" s="1070"/>
      <c r="P2943" s="1071"/>
      <c r="Q2943" s="1058"/>
      <c r="R2943" s="1063"/>
    </row>
    <row r="2944" spans="1:18" s="90" customFormat="1">
      <c r="A2944" s="1058"/>
      <c r="B2944" s="1064"/>
      <c r="C2944" s="1065"/>
      <c r="D2944" s="1058"/>
      <c r="E2944" s="1058"/>
      <c r="F2944" s="1066"/>
      <c r="G2944" s="1059"/>
      <c r="H2944" s="1067"/>
      <c r="I2944" s="1059"/>
      <c r="J2944" s="1068"/>
      <c r="K2944" s="1064"/>
      <c r="L2944" s="1069"/>
      <c r="M2944" s="1069"/>
      <c r="N2944" s="1069"/>
      <c r="O2944" s="1070"/>
      <c r="P2944" s="1071"/>
      <c r="Q2944" s="1058"/>
      <c r="R2944" s="1063"/>
    </row>
    <row r="2945" spans="1:18" s="90" customFormat="1">
      <c r="A2945" s="1058"/>
      <c r="B2945" s="1064"/>
      <c r="C2945" s="1065"/>
      <c r="D2945" s="1058"/>
      <c r="E2945" s="1058"/>
      <c r="F2945" s="1066"/>
      <c r="G2945" s="1059"/>
      <c r="H2945" s="1067"/>
      <c r="I2945" s="1059"/>
      <c r="J2945" s="1068"/>
      <c r="K2945" s="1064"/>
      <c r="L2945" s="1069"/>
      <c r="M2945" s="1069"/>
      <c r="N2945" s="1069"/>
      <c r="O2945" s="1070"/>
      <c r="P2945" s="1071"/>
      <c r="Q2945" s="1058"/>
      <c r="R2945" s="1063"/>
    </row>
    <row r="2946" spans="1:18" s="90" customFormat="1">
      <c r="A2946" s="1058"/>
      <c r="B2946" s="1064"/>
      <c r="C2946" s="1065"/>
      <c r="D2946" s="1058"/>
      <c r="E2946" s="1058"/>
      <c r="F2946" s="1066"/>
      <c r="G2946" s="1059"/>
      <c r="H2946" s="1067"/>
      <c r="I2946" s="1059"/>
      <c r="J2946" s="1068"/>
      <c r="K2946" s="1064"/>
      <c r="L2946" s="1069"/>
      <c r="M2946" s="1069"/>
      <c r="N2946" s="1069"/>
      <c r="O2946" s="1070"/>
      <c r="P2946" s="1071"/>
      <c r="Q2946" s="1058"/>
      <c r="R2946" s="1063"/>
    </row>
    <row r="2947" spans="1:18" s="90" customFormat="1">
      <c r="A2947" s="1058"/>
      <c r="B2947" s="1064"/>
      <c r="C2947" s="1065"/>
      <c r="D2947" s="1058"/>
      <c r="E2947" s="1058"/>
      <c r="F2947" s="1066"/>
      <c r="G2947" s="1059"/>
      <c r="H2947" s="1067"/>
      <c r="I2947" s="1059"/>
      <c r="J2947" s="1068"/>
      <c r="K2947" s="1064"/>
      <c r="L2947" s="1069"/>
      <c r="M2947" s="1069"/>
      <c r="N2947" s="1069"/>
      <c r="O2947" s="1070"/>
      <c r="P2947" s="1071"/>
      <c r="Q2947" s="1058"/>
      <c r="R2947" s="1063"/>
    </row>
    <row r="2948" spans="1:18" s="90" customFormat="1">
      <c r="A2948" s="1058"/>
      <c r="B2948" s="1064"/>
      <c r="C2948" s="1065"/>
      <c r="D2948" s="1058"/>
      <c r="E2948" s="1058"/>
      <c r="F2948" s="1066"/>
      <c r="G2948" s="1059"/>
      <c r="H2948" s="1067"/>
      <c r="I2948" s="1059"/>
      <c r="J2948" s="1068"/>
      <c r="K2948" s="1064"/>
      <c r="L2948" s="1069"/>
      <c r="M2948" s="1069"/>
      <c r="N2948" s="1069"/>
      <c r="O2948" s="1070"/>
      <c r="P2948" s="1071"/>
      <c r="Q2948" s="1058"/>
      <c r="R2948" s="1063"/>
    </row>
    <row r="2949" spans="1:18" s="90" customFormat="1">
      <c r="A2949" s="1058"/>
      <c r="B2949" s="1064"/>
      <c r="C2949" s="1065"/>
      <c r="D2949" s="1058"/>
      <c r="E2949" s="1058"/>
      <c r="F2949" s="1066"/>
      <c r="G2949" s="1059"/>
      <c r="H2949" s="1067"/>
      <c r="I2949" s="1059"/>
      <c r="J2949" s="1068"/>
      <c r="K2949" s="1064"/>
      <c r="L2949" s="1069"/>
      <c r="M2949" s="1069"/>
      <c r="N2949" s="1069"/>
      <c r="O2949" s="1070"/>
      <c r="P2949" s="1071"/>
      <c r="Q2949" s="1058"/>
      <c r="R2949" s="1063"/>
    </row>
    <row r="2950" spans="1:18" s="90" customFormat="1">
      <c r="A2950" s="1058"/>
      <c r="B2950" s="1064"/>
      <c r="C2950" s="1065"/>
      <c r="D2950" s="1058"/>
      <c r="E2950" s="1058"/>
      <c r="F2950" s="1066"/>
      <c r="G2950" s="1059"/>
      <c r="H2950" s="1067"/>
      <c r="I2950" s="1059"/>
      <c r="J2950" s="1068"/>
      <c r="K2950" s="1064"/>
      <c r="L2950" s="1069"/>
      <c r="M2950" s="1069"/>
      <c r="N2950" s="1069"/>
      <c r="O2950" s="1070"/>
      <c r="P2950" s="1071"/>
      <c r="Q2950" s="1058"/>
      <c r="R2950" s="1063"/>
    </row>
    <row r="2951" spans="1:18" s="90" customFormat="1">
      <c r="A2951" s="1058"/>
      <c r="B2951" s="1064"/>
      <c r="C2951" s="1065"/>
      <c r="D2951" s="1058"/>
      <c r="E2951" s="1058"/>
      <c r="F2951" s="1066"/>
      <c r="G2951" s="1059"/>
      <c r="H2951" s="1067"/>
      <c r="I2951" s="1059"/>
      <c r="J2951" s="1068"/>
      <c r="K2951" s="1064"/>
      <c r="L2951" s="1069"/>
      <c r="M2951" s="1069"/>
      <c r="N2951" s="1069"/>
      <c r="O2951" s="1070"/>
      <c r="P2951" s="1071"/>
      <c r="Q2951" s="1058"/>
      <c r="R2951" s="1063"/>
    </row>
    <row r="2952" spans="1:18" s="90" customFormat="1">
      <c r="A2952" s="1058"/>
      <c r="B2952" s="1064"/>
      <c r="C2952" s="1065"/>
      <c r="D2952" s="1058"/>
      <c r="E2952" s="1058"/>
      <c r="F2952" s="1066"/>
      <c r="G2952" s="1059"/>
      <c r="H2952" s="1067"/>
      <c r="I2952" s="1059"/>
      <c r="J2952" s="1068"/>
      <c r="K2952" s="1064"/>
      <c r="L2952" s="1069"/>
      <c r="M2952" s="1069"/>
      <c r="N2952" s="1069"/>
      <c r="O2952" s="1070"/>
      <c r="P2952" s="1071"/>
      <c r="Q2952" s="1058"/>
      <c r="R2952" s="1063"/>
    </row>
    <row r="2953" spans="1:18" s="90" customFormat="1">
      <c r="A2953" s="1058"/>
      <c r="B2953" s="1064"/>
      <c r="C2953" s="1065"/>
      <c r="D2953" s="1058"/>
      <c r="E2953" s="1058"/>
      <c r="F2953" s="1066"/>
      <c r="G2953" s="1059"/>
      <c r="H2953" s="1067"/>
      <c r="I2953" s="1059"/>
      <c r="J2953" s="1068"/>
      <c r="K2953" s="1064"/>
      <c r="L2953" s="1069"/>
      <c r="M2953" s="1069"/>
      <c r="N2953" s="1069"/>
      <c r="O2953" s="1070"/>
      <c r="P2953" s="1071"/>
      <c r="Q2953" s="1058"/>
      <c r="R2953" s="1063"/>
    </row>
    <row r="2954" spans="1:18" s="90" customFormat="1">
      <c r="A2954" s="1058"/>
      <c r="B2954" s="1064"/>
      <c r="C2954" s="1065"/>
      <c r="D2954" s="1058"/>
      <c r="E2954" s="1058"/>
      <c r="F2954" s="1066"/>
      <c r="G2954" s="1059"/>
      <c r="H2954" s="1067"/>
      <c r="I2954" s="1059"/>
      <c r="J2954" s="1068"/>
      <c r="K2954" s="1064"/>
      <c r="L2954" s="1069"/>
      <c r="M2954" s="1069"/>
      <c r="N2954" s="1069"/>
      <c r="O2954" s="1070"/>
      <c r="P2954" s="1071"/>
      <c r="Q2954" s="1058"/>
      <c r="R2954" s="1063"/>
    </row>
    <row r="2955" spans="1:18" s="90" customFormat="1">
      <c r="A2955" s="1058"/>
      <c r="B2955" s="1064"/>
      <c r="C2955" s="1065"/>
      <c r="D2955" s="1058"/>
      <c r="E2955" s="1058"/>
      <c r="F2955" s="1066"/>
      <c r="G2955" s="1059"/>
      <c r="H2955" s="1067"/>
      <c r="I2955" s="1059"/>
      <c r="J2955" s="1068"/>
      <c r="K2955" s="1064"/>
      <c r="L2955" s="1069"/>
      <c r="M2955" s="1069"/>
      <c r="N2955" s="1069"/>
      <c r="O2955" s="1070"/>
      <c r="P2955" s="1071"/>
      <c r="Q2955" s="1058"/>
      <c r="R2955" s="1063"/>
    </row>
    <row r="2956" spans="1:18" s="90" customFormat="1">
      <c r="A2956" s="1058"/>
      <c r="B2956" s="1064"/>
      <c r="C2956" s="1065"/>
      <c r="D2956" s="1058"/>
      <c r="E2956" s="1058"/>
      <c r="F2956" s="1066"/>
      <c r="G2956" s="1059"/>
      <c r="H2956" s="1067"/>
      <c r="I2956" s="1059"/>
      <c r="J2956" s="1068"/>
      <c r="K2956" s="1064"/>
      <c r="L2956" s="1069"/>
      <c r="M2956" s="1069"/>
      <c r="N2956" s="1069"/>
      <c r="O2956" s="1070"/>
      <c r="P2956" s="1071"/>
      <c r="Q2956" s="1058"/>
      <c r="R2956" s="1063"/>
    </row>
    <row r="2957" spans="1:18" s="90" customFormat="1">
      <c r="A2957" s="1058"/>
      <c r="B2957" s="1064"/>
      <c r="C2957" s="1065"/>
      <c r="D2957" s="1058"/>
      <c r="E2957" s="1058"/>
      <c r="F2957" s="1066"/>
      <c r="G2957" s="1059"/>
      <c r="H2957" s="1067"/>
      <c r="I2957" s="1059"/>
      <c r="J2957" s="1068"/>
      <c r="K2957" s="1064"/>
      <c r="L2957" s="1069"/>
      <c r="M2957" s="1069"/>
      <c r="N2957" s="1069"/>
      <c r="O2957" s="1070"/>
      <c r="P2957" s="1071"/>
      <c r="Q2957" s="1058"/>
      <c r="R2957" s="1063"/>
    </row>
    <row r="2958" spans="1:18" s="90" customFormat="1">
      <c r="A2958" s="1058"/>
      <c r="B2958" s="1064"/>
      <c r="C2958" s="1065"/>
      <c r="D2958" s="1058"/>
      <c r="E2958" s="1058"/>
      <c r="F2958" s="1066"/>
      <c r="G2958" s="1059"/>
      <c r="H2958" s="1067"/>
      <c r="I2958" s="1059"/>
      <c r="J2958" s="1068"/>
      <c r="K2958" s="1064"/>
      <c r="L2958" s="1069"/>
      <c r="M2958" s="1069"/>
      <c r="N2958" s="1069"/>
      <c r="O2958" s="1070"/>
      <c r="P2958" s="1071"/>
      <c r="Q2958" s="1058"/>
      <c r="R2958" s="1063"/>
    </row>
    <row r="2959" spans="1:18" s="90" customFormat="1">
      <c r="A2959" s="1058"/>
      <c r="B2959" s="1064"/>
      <c r="C2959" s="1065"/>
      <c r="D2959" s="1058"/>
      <c r="E2959" s="1058"/>
      <c r="F2959" s="1066"/>
      <c r="G2959" s="1059"/>
      <c r="H2959" s="1067"/>
      <c r="I2959" s="1059"/>
      <c r="J2959" s="1068"/>
      <c r="K2959" s="1064"/>
      <c r="L2959" s="1069"/>
      <c r="M2959" s="1069"/>
      <c r="N2959" s="1069"/>
      <c r="O2959" s="1070"/>
      <c r="P2959" s="1071"/>
      <c r="Q2959" s="1058"/>
      <c r="R2959" s="1063"/>
    </row>
    <row r="2960" spans="1:18" s="90" customFormat="1">
      <c r="A2960" s="1058"/>
      <c r="B2960" s="1064"/>
      <c r="C2960" s="1065"/>
      <c r="D2960" s="1058"/>
      <c r="E2960" s="1058"/>
      <c r="F2960" s="1066"/>
      <c r="G2960" s="1059"/>
      <c r="H2960" s="1067"/>
      <c r="I2960" s="1059"/>
      <c r="J2960" s="1068"/>
      <c r="K2960" s="1064"/>
      <c r="L2960" s="1069"/>
      <c r="M2960" s="1069"/>
      <c r="N2960" s="1069"/>
      <c r="O2960" s="1070"/>
      <c r="P2960" s="1071"/>
      <c r="Q2960" s="1058"/>
      <c r="R2960" s="1063"/>
    </row>
    <row r="2961" spans="1:18" s="90" customFormat="1">
      <c r="A2961" s="1058"/>
      <c r="B2961" s="1064"/>
      <c r="C2961" s="1065"/>
      <c r="D2961" s="1058"/>
      <c r="E2961" s="1058"/>
      <c r="F2961" s="1066"/>
      <c r="G2961" s="1059"/>
      <c r="H2961" s="1067"/>
      <c r="I2961" s="1059"/>
      <c r="J2961" s="1068"/>
      <c r="K2961" s="1064"/>
      <c r="L2961" s="1069"/>
      <c r="M2961" s="1069"/>
      <c r="N2961" s="1069"/>
      <c r="O2961" s="1070"/>
      <c r="P2961" s="1071"/>
      <c r="Q2961" s="1058"/>
      <c r="R2961" s="1063"/>
    </row>
    <row r="2962" spans="1:18" s="90" customFormat="1">
      <c r="A2962" s="1058"/>
      <c r="B2962" s="1064"/>
      <c r="C2962" s="1065"/>
      <c r="D2962" s="1058"/>
      <c r="E2962" s="1058"/>
      <c r="F2962" s="1066"/>
      <c r="G2962" s="1059"/>
      <c r="H2962" s="1067"/>
      <c r="I2962" s="1059"/>
      <c r="J2962" s="1068"/>
      <c r="K2962" s="1064"/>
      <c r="L2962" s="1069"/>
      <c r="M2962" s="1069"/>
      <c r="N2962" s="1069"/>
      <c r="O2962" s="1070"/>
      <c r="P2962" s="1071"/>
      <c r="Q2962" s="1058"/>
      <c r="R2962" s="1063"/>
    </row>
    <row r="2963" spans="1:18" s="90" customFormat="1">
      <c r="A2963" s="1058"/>
      <c r="B2963" s="1064"/>
      <c r="C2963" s="1065"/>
      <c r="D2963" s="1058"/>
      <c r="E2963" s="1058"/>
      <c r="F2963" s="1066"/>
      <c r="G2963" s="1059"/>
      <c r="H2963" s="1067"/>
      <c r="I2963" s="1059"/>
      <c r="J2963" s="1068"/>
      <c r="K2963" s="1064"/>
      <c r="L2963" s="1069"/>
      <c r="M2963" s="1069"/>
      <c r="N2963" s="1069"/>
      <c r="O2963" s="1070"/>
      <c r="P2963" s="1071"/>
      <c r="Q2963" s="1058"/>
      <c r="R2963" s="1063"/>
    </row>
    <row r="2964" spans="1:18" s="90" customFormat="1">
      <c r="A2964" s="1058"/>
      <c r="B2964" s="1064"/>
      <c r="C2964" s="1065"/>
      <c r="D2964" s="1058"/>
      <c r="E2964" s="1058"/>
      <c r="F2964" s="1066"/>
      <c r="G2964" s="1059"/>
      <c r="H2964" s="1067"/>
      <c r="I2964" s="1059"/>
      <c r="J2964" s="1068"/>
      <c r="K2964" s="1064"/>
      <c r="L2964" s="1069"/>
      <c r="M2964" s="1069"/>
      <c r="N2964" s="1069"/>
      <c r="O2964" s="1070"/>
      <c r="P2964" s="1071"/>
      <c r="Q2964" s="1058"/>
      <c r="R2964" s="1063"/>
    </row>
    <row r="2965" spans="1:18" s="90" customFormat="1">
      <c r="A2965" s="1058"/>
      <c r="B2965" s="1064"/>
      <c r="C2965" s="1065"/>
      <c r="D2965" s="1058"/>
      <c r="E2965" s="1058"/>
      <c r="F2965" s="1066"/>
      <c r="G2965" s="1059"/>
      <c r="H2965" s="1067"/>
      <c r="I2965" s="1059"/>
      <c r="J2965" s="1068"/>
      <c r="K2965" s="1064"/>
      <c r="L2965" s="1069"/>
      <c r="M2965" s="1069"/>
      <c r="N2965" s="1069"/>
      <c r="O2965" s="1070"/>
      <c r="P2965" s="1071"/>
      <c r="Q2965" s="1058"/>
      <c r="R2965" s="1063"/>
    </row>
    <row r="2966" spans="1:18" s="90" customFormat="1">
      <c r="A2966" s="1058"/>
      <c r="B2966" s="1064"/>
      <c r="C2966" s="1065"/>
      <c r="D2966" s="1058"/>
      <c r="E2966" s="1058"/>
      <c r="F2966" s="1066"/>
      <c r="G2966" s="1059"/>
      <c r="H2966" s="1067"/>
      <c r="I2966" s="1059"/>
      <c r="J2966" s="1068"/>
      <c r="K2966" s="1064"/>
      <c r="L2966" s="1069"/>
      <c r="M2966" s="1069"/>
      <c r="N2966" s="1069"/>
      <c r="O2966" s="1070"/>
      <c r="P2966" s="1071"/>
      <c r="Q2966" s="1058"/>
      <c r="R2966" s="1063"/>
    </row>
    <row r="2967" spans="1:18" s="90" customFormat="1">
      <c r="A2967" s="1058"/>
      <c r="B2967" s="1064"/>
      <c r="C2967" s="1065"/>
      <c r="D2967" s="1058"/>
      <c r="E2967" s="1058"/>
      <c r="F2967" s="1066"/>
      <c r="G2967" s="1059"/>
      <c r="H2967" s="1067"/>
      <c r="I2967" s="1059"/>
      <c r="J2967" s="1068"/>
      <c r="K2967" s="1064"/>
      <c r="L2967" s="1069"/>
      <c r="M2967" s="1069"/>
      <c r="N2967" s="1069"/>
      <c r="O2967" s="1070"/>
      <c r="P2967" s="1071"/>
      <c r="Q2967" s="1058"/>
      <c r="R2967" s="1063"/>
    </row>
    <row r="2968" spans="1:18" s="90" customFormat="1">
      <c r="A2968" s="1058"/>
      <c r="B2968" s="1064"/>
      <c r="C2968" s="1065"/>
      <c r="D2968" s="1058"/>
      <c r="E2968" s="1058"/>
      <c r="F2968" s="1066"/>
      <c r="G2968" s="1059"/>
      <c r="H2968" s="1067"/>
      <c r="I2968" s="1059"/>
      <c r="J2968" s="1068"/>
      <c r="K2968" s="1064"/>
      <c r="L2968" s="1069"/>
      <c r="M2968" s="1069"/>
      <c r="N2968" s="1069"/>
      <c r="O2968" s="1070"/>
      <c r="P2968" s="1071"/>
      <c r="Q2968" s="1058"/>
      <c r="R2968" s="1063"/>
    </row>
    <row r="2969" spans="1:18" s="90" customFormat="1">
      <c r="A2969" s="1058"/>
      <c r="B2969" s="1064"/>
      <c r="C2969" s="1065"/>
      <c r="D2969" s="1058"/>
      <c r="E2969" s="1058"/>
      <c r="F2969" s="1066"/>
      <c r="G2969" s="1059"/>
      <c r="H2969" s="1067"/>
      <c r="I2969" s="1059"/>
      <c r="J2969" s="1068"/>
      <c r="K2969" s="1064"/>
      <c r="L2969" s="1069"/>
      <c r="M2969" s="1069"/>
      <c r="N2969" s="1069"/>
      <c r="O2969" s="1070"/>
      <c r="P2969" s="1071"/>
      <c r="Q2969" s="1058"/>
      <c r="R2969" s="1063"/>
    </row>
    <row r="2970" spans="1:18" s="90" customFormat="1">
      <c r="A2970" s="1058"/>
      <c r="B2970" s="1064"/>
      <c r="C2970" s="1065"/>
      <c r="D2970" s="1058"/>
      <c r="E2970" s="1058"/>
      <c r="F2970" s="1066"/>
      <c r="G2970" s="1059"/>
      <c r="H2970" s="1067"/>
      <c r="I2970" s="1059"/>
      <c r="J2970" s="1068"/>
      <c r="K2970" s="1064"/>
      <c r="L2970" s="1069"/>
      <c r="M2970" s="1069"/>
      <c r="N2970" s="1069"/>
      <c r="O2970" s="1070"/>
      <c r="P2970" s="1071"/>
      <c r="Q2970" s="1058"/>
      <c r="R2970" s="1063"/>
    </row>
    <row r="2971" spans="1:18" s="90" customFormat="1">
      <c r="A2971" s="1058"/>
      <c r="B2971" s="1064"/>
      <c r="C2971" s="1065"/>
      <c r="D2971" s="1058"/>
      <c r="E2971" s="1058"/>
      <c r="F2971" s="1066"/>
      <c r="G2971" s="1059"/>
      <c r="H2971" s="1067"/>
      <c r="I2971" s="1059"/>
      <c r="J2971" s="1068"/>
      <c r="K2971" s="1064"/>
      <c r="L2971" s="1069"/>
      <c r="M2971" s="1069"/>
      <c r="N2971" s="1069"/>
      <c r="O2971" s="1070"/>
      <c r="P2971" s="1071"/>
      <c r="Q2971" s="1058"/>
      <c r="R2971" s="1063"/>
    </row>
    <row r="2972" spans="1:18" s="90" customFormat="1">
      <c r="A2972" s="1058"/>
      <c r="B2972" s="1064"/>
      <c r="C2972" s="1065"/>
      <c r="D2972" s="1058"/>
      <c r="E2972" s="1058"/>
      <c r="F2972" s="1066"/>
      <c r="G2972" s="1059"/>
      <c r="H2972" s="1067"/>
      <c r="I2972" s="1059"/>
      <c r="J2972" s="1068"/>
      <c r="K2972" s="1064"/>
      <c r="L2972" s="1069"/>
      <c r="M2972" s="1069"/>
      <c r="N2972" s="1069"/>
      <c r="O2972" s="1070"/>
      <c r="P2972" s="1071"/>
      <c r="Q2972" s="1058"/>
      <c r="R2972" s="1063"/>
    </row>
    <row r="2973" spans="1:18" s="90" customFormat="1">
      <c r="A2973" s="1058"/>
      <c r="B2973" s="1064"/>
      <c r="C2973" s="1065"/>
      <c r="D2973" s="1058"/>
      <c r="E2973" s="1058"/>
      <c r="F2973" s="1066"/>
      <c r="G2973" s="1059"/>
      <c r="H2973" s="1067"/>
      <c r="I2973" s="1059"/>
      <c r="J2973" s="1068"/>
      <c r="K2973" s="1064"/>
      <c r="L2973" s="1069"/>
      <c r="M2973" s="1069"/>
      <c r="N2973" s="1069"/>
      <c r="O2973" s="1070"/>
      <c r="P2973" s="1071"/>
      <c r="Q2973" s="1058"/>
      <c r="R2973" s="1063"/>
    </row>
    <row r="2974" spans="1:18" s="90" customFormat="1">
      <c r="A2974" s="1058"/>
      <c r="B2974" s="1064"/>
      <c r="C2974" s="1065"/>
      <c r="D2974" s="1058"/>
      <c r="E2974" s="1058"/>
      <c r="F2974" s="1066"/>
      <c r="G2974" s="1059"/>
      <c r="H2974" s="1067"/>
      <c r="I2974" s="1059"/>
      <c r="J2974" s="1068"/>
      <c r="K2974" s="1064"/>
      <c r="L2974" s="1069"/>
      <c r="M2974" s="1069"/>
      <c r="N2974" s="1069"/>
      <c r="O2974" s="1070"/>
      <c r="P2974" s="1071"/>
      <c r="Q2974" s="1058"/>
      <c r="R2974" s="1063"/>
    </row>
    <row r="2975" spans="1:18" s="90" customFormat="1">
      <c r="A2975" s="1058"/>
      <c r="B2975" s="1064"/>
      <c r="C2975" s="1065"/>
      <c r="D2975" s="1058"/>
      <c r="E2975" s="1058"/>
      <c r="F2975" s="1066"/>
      <c r="G2975" s="1059"/>
      <c r="H2975" s="1067"/>
      <c r="I2975" s="1059"/>
      <c r="J2975" s="1068"/>
      <c r="K2975" s="1064"/>
      <c r="L2975" s="1069"/>
      <c r="M2975" s="1069"/>
      <c r="N2975" s="1069"/>
      <c r="O2975" s="1070"/>
      <c r="P2975" s="1071"/>
      <c r="Q2975" s="1058"/>
      <c r="R2975" s="1063"/>
    </row>
    <row r="2976" spans="1:18" s="90" customFormat="1">
      <c r="A2976" s="1058"/>
      <c r="B2976" s="1064"/>
      <c r="C2976" s="1065"/>
      <c r="D2976" s="1058"/>
      <c r="E2976" s="1058"/>
      <c r="F2976" s="1066"/>
      <c r="G2976" s="1059"/>
      <c r="H2976" s="1067"/>
      <c r="I2976" s="1059"/>
      <c r="J2976" s="1068"/>
      <c r="K2976" s="1064"/>
      <c r="L2976" s="1069"/>
      <c r="M2976" s="1069"/>
      <c r="N2976" s="1069"/>
      <c r="O2976" s="1070"/>
      <c r="P2976" s="1071"/>
      <c r="Q2976" s="1058"/>
      <c r="R2976" s="1063"/>
    </row>
    <row r="2977" spans="1:18" s="90" customFormat="1">
      <c r="A2977" s="1058"/>
      <c r="B2977" s="1064"/>
      <c r="C2977" s="1065"/>
      <c r="D2977" s="1058"/>
      <c r="E2977" s="1058"/>
      <c r="F2977" s="1066"/>
      <c r="G2977" s="1059"/>
      <c r="H2977" s="1067"/>
      <c r="I2977" s="1059"/>
      <c r="J2977" s="1068"/>
      <c r="K2977" s="1064"/>
      <c r="L2977" s="1069"/>
      <c r="M2977" s="1069"/>
      <c r="N2977" s="1069"/>
      <c r="O2977" s="1070"/>
      <c r="P2977" s="1071"/>
      <c r="Q2977" s="1058"/>
      <c r="R2977" s="1063"/>
    </row>
    <row r="2978" spans="1:18" s="90" customFormat="1">
      <c r="A2978" s="1058"/>
      <c r="B2978" s="1064"/>
      <c r="C2978" s="1065"/>
      <c r="D2978" s="1058"/>
      <c r="E2978" s="1058"/>
      <c r="F2978" s="1066"/>
      <c r="G2978" s="1059"/>
      <c r="H2978" s="1067"/>
      <c r="I2978" s="1059"/>
      <c r="J2978" s="1068"/>
      <c r="K2978" s="1064"/>
      <c r="L2978" s="1069"/>
      <c r="M2978" s="1069"/>
      <c r="N2978" s="1069"/>
      <c r="O2978" s="1070"/>
      <c r="P2978" s="1071"/>
      <c r="Q2978" s="1058"/>
      <c r="R2978" s="1063"/>
    </row>
    <row r="2979" spans="1:18" s="90" customFormat="1">
      <c r="A2979" s="1058"/>
      <c r="B2979" s="1064"/>
      <c r="C2979" s="1065"/>
      <c r="D2979" s="1058"/>
      <c r="E2979" s="1058"/>
      <c r="F2979" s="1066"/>
      <c r="G2979" s="1059"/>
      <c r="H2979" s="1067"/>
      <c r="I2979" s="1059"/>
      <c r="J2979" s="1068"/>
      <c r="K2979" s="1064"/>
      <c r="L2979" s="1069"/>
      <c r="M2979" s="1069"/>
      <c r="N2979" s="1069"/>
      <c r="O2979" s="1070"/>
      <c r="P2979" s="1071"/>
      <c r="Q2979" s="1058"/>
      <c r="R2979" s="1063"/>
    </row>
    <row r="2980" spans="1:18" s="90" customFormat="1">
      <c r="A2980" s="1058"/>
      <c r="B2980" s="1064"/>
      <c r="C2980" s="1065"/>
      <c r="D2980" s="1058"/>
      <c r="E2980" s="1058"/>
      <c r="F2980" s="1066"/>
      <c r="G2980" s="1059"/>
      <c r="H2980" s="1067"/>
      <c r="I2980" s="1059"/>
      <c r="J2980" s="1068"/>
      <c r="K2980" s="1064"/>
      <c r="L2980" s="1069"/>
      <c r="M2980" s="1069"/>
      <c r="N2980" s="1069"/>
      <c r="O2980" s="1070"/>
      <c r="P2980" s="1071"/>
      <c r="Q2980" s="1058"/>
      <c r="R2980" s="1063"/>
    </row>
    <row r="2981" spans="1:18" s="90" customFormat="1">
      <c r="A2981" s="1058"/>
      <c r="B2981" s="1064"/>
      <c r="C2981" s="1065"/>
      <c r="D2981" s="1058"/>
      <c r="E2981" s="1058"/>
      <c r="F2981" s="1066"/>
      <c r="G2981" s="1059"/>
      <c r="H2981" s="1067"/>
      <c r="I2981" s="1059"/>
      <c r="J2981" s="1068"/>
      <c r="K2981" s="1064"/>
      <c r="L2981" s="1069"/>
      <c r="M2981" s="1069"/>
      <c r="N2981" s="1069"/>
      <c r="O2981" s="1070"/>
      <c r="P2981" s="1071"/>
      <c r="Q2981" s="1058"/>
      <c r="R2981" s="1063"/>
    </row>
    <row r="2982" spans="1:18" s="90" customFormat="1">
      <c r="A2982" s="1058"/>
      <c r="B2982" s="1064"/>
      <c r="C2982" s="1065"/>
      <c r="D2982" s="1058"/>
      <c r="E2982" s="1058"/>
      <c r="F2982" s="1066"/>
      <c r="G2982" s="1059"/>
      <c r="H2982" s="1067"/>
      <c r="I2982" s="1059"/>
      <c r="J2982" s="1068"/>
      <c r="K2982" s="1064"/>
      <c r="L2982" s="1069"/>
      <c r="M2982" s="1069"/>
      <c r="N2982" s="1069"/>
      <c r="O2982" s="1070"/>
      <c r="P2982" s="1071"/>
      <c r="Q2982" s="1058"/>
      <c r="R2982" s="1063"/>
    </row>
    <row r="2983" spans="1:18" s="90" customFormat="1">
      <c r="A2983" s="1058"/>
      <c r="B2983" s="1064"/>
      <c r="C2983" s="1065"/>
      <c r="D2983" s="1058"/>
      <c r="E2983" s="1058"/>
      <c r="F2983" s="1066"/>
      <c r="G2983" s="1059"/>
      <c r="H2983" s="1067"/>
      <c r="I2983" s="1059"/>
      <c r="J2983" s="1068"/>
      <c r="K2983" s="1064"/>
      <c r="L2983" s="1069"/>
      <c r="M2983" s="1069"/>
      <c r="N2983" s="1069"/>
      <c r="O2983" s="1070"/>
      <c r="P2983" s="1071"/>
      <c r="Q2983" s="1058"/>
      <c r="R2983" s="1063"/>
    </row>
    <row r="2984" spans="1:18" s="90" customFormat="1">
      <c r="A2984" s="1058"/>
      <c r="B2984" s="1064"/>
      <c r="C2984" s="1065"/>
      <c r="D2984" s="1058"/>
      <c r="E2984" s="1058"/>
      <c r="F2984" s="1066"/>
      <c r="G2984" s="1059"/>
      <c r="H2984" s="1067"/>
      <c r="I2984" s="1059"/>
      <c r="J2984" s="1068"/>
      <c r="K2984" s="1064"/>
      <c r="L2984" s="1069"/>
      <c r="M2984" s="1069"/>
      <c r="N2984" s="1069"/>
      <c r="O2984" s="1070"/>
      <c r="P2984" s="1071"/>
      <c r="Q2984" s="1058"/>
      <c r="R2984" s="1063"/>
    </row>
    <row r="2985" spans="1:18" s="90" customFormat="1">
      <c r="A2985" s="1058"/>
      <c r="B2985" s="1064"/>
      <c r="C2985" s="1065"/>
      <c r="D2985" s="1058"/>
      <c r="E2985" s="1058"/>
      <c r="F2985" s="1066"/>
      <c r="G2985" s="1059"/>
      <c r="H2985" s="1067"/>
      <c r="I2985" s="1059"/>
      <c r="J2985" s="1068"/>
      <c r="K2985" s="1064"/>
      <c r="L2985" s="1069"/>
      <c r="M2985" s="1069"/>
      <c r="N2985" s="1069"/>
      <c r="O2985" s="1070"/>
      <c r="P2985" s="1071"/>
      <c r="Q2985" s="1058"/>
      <c r="R2985" s="1063"/>
    </row>
    <row r="2986" spans="1:18" s="90" customFormat="1">
      <c r="A2986" s="1058"/>
      <c r="B2986" s="1064"/>
      <c r="C2986" s="1065"/>
      <c r="D2986" s="1058"/>
      <c r="E2986" s="1058"/>
      <c r="F2986" s="1066"/>
      <c r="G2986" s="1059"/>
      <c r="H2986" s="1067"/>
      <c r="I2986" s="1059"/>
      <c r="J2986" s="1068"/>
      <c r="K2986" s="1064"/>
      <c r="L2986" s="1069"/>
      <c r="M2986" s="1069"/>
      <c r="N2986" s="1069"/>
      <c r="O2986" s="1070"/>
      <c r="P2986" s="1071"/>
      <c r="Q2986" s="1058"/>
      <c r="R2986" s="1063"/>
    </row>
    <row r="2987" spans="1:18" s="90" customFormat="1">
      <c r="A2987" s="1058"/>
      <c r="B2987" s="1064"/>
      <c r="C2987" s="1065"/>
      <c r="D2987" s="1058"/>
      <c r="E2987" s="1058"/>
      <c r="F2987" s="1066"/>
      <c r="G2987" s="1059"/>
      <c r="H2987" s="1067"/>
      <c r="I2987" s="1059"/>
      <c r="J2987" s="1068"/>
      <c r="K2987" s="1064"/>
      <c r="L2987" s="1069"/>
      <c r="M2987" s="1069"/>
      <c r="N2987" s="1069"/>
      <c r="O2987" s="1070"/>
      <c r="P2987" s="1071"/>
      <c r="Q2987" s="1058"/>
      <c r="R2987" s="1063"/>
    </row>
    <row r="2988" spans="1:18" s="90" customFormat="1">
      <c r="A2988" s="1058"/>
      <c r="B2988" s="1064"/>
      <c r="C2988" s="1065"/>
      <c r="D2988" s="1058"/>
      <c r="E2988" s="1058"/>
      <c r="F2988" s="1066"/>
      <c r="G2988" s="1059"/>
      <c r="H2988" s="1067"/>
      <c r="I2988" s="1059"/>
      <c r="J2988" s="1068"/>
      <c r="K2988" s="1064"/>
      <c r="L2988" s="1069"/>
      <c r="M2988" s="1069"/>
      <c r="N2988" s="1069"/>
      <c r="O2988" s="1070"/>
      <c r="P2988" s="1071"/>
      <c r="Q2988" s="1058"/>
      <c r="R2988" s="1063"/>
    </row>
    <row r="2989" spans="1:18" s="90" customFormat="1">
      <c r="A2989" s="1058"/>
      <c r="B2989" s="1064"/>
      <c r="C2989" s="1065"/>
      <c r="D2989" s="1058"/>
      <c r="E2989" s="1058"/>
      <c r="F2989" s="1066"/>
      <c r="G2989" s="1059"/>
      <c r="H2989" s="1067"/>
      <c r="I2989" s="1059"/>
      <c r="J2989" s="1068"/>
      <c r="K2989" s="1064"/>
      <c r="L2989" s="1069"/>
      <c r="M2989" s="1069"/>
      <c r="N2989" s="1069"/>
      <c r="O2989" s="1070"/>
      <c r="P2989" s="1071"/>
      <c r="Q2989" s="1058"/>
      <c r="R2989" s="1063"/>
    </row>
    <row r="2990" spans="1:18" s="90" customFormat="1">
      <c r="A2990" s="1058"/>
      <c r="B2990" s="1064"/>
      <c r="C2990" s="1065"/>
      <c r="D2990" s="1058"/>
      <c r="E2990" s="1058"/>
      <c r="F2990" s="1066"/>
      <c r="G2990" s="1059"/>
      <c r="H2990" s="1067"/>
      <c r="I2990" s="1059"/>
      <c r="J2990" s="1068"/>
      <c r="K2990" s="1064"/>
      <c r="L2990" s="1069"/>
      <c r="M2990" s="1069"/>
      <c r="N2990" s="1069"/>
      <c r="O2990" s="1070"/>
      <c r="P2990" s="1071"/>
      <c r="Q2990" s="1058"/>
      <c r="R2990" s="1063"/>
    </row>
    <row r="2991" spans="1:18" s="90" customFormat="1">
      <c r="A2991" s="1058"/>
      <c r="B2991" s="1064"/>
      <c r="C2991" s="1065"/>
      <c r="D2991" s="1058"/>
      <c r="E2991" s="1058"/>
      <c r="F2991" s="1066"/>
      <c r="G2991" s="1059"/>
      <c r="H2991" s="1067"/>
      <c r="I2991" s="1059"/>
      <c r="J2991" s="1068"/>
      <c r="K2991" s="1064"/>
      <c r="L2991" s="1069"/>
      <c r="M2991" s="1069"/>
      <c r="N2991" s="1069"/>
      <c r="O2991" s="1070"/>
      <c r="P2991" s="1071"/>
      <c r="Q2991" s="1058"/>
      <c r="R2991" s="1063"/>
    </row>
    <row r="2992" spans="1:18" s="90" customFormat="1">
      <c r="A2992" s="1058"/>
      <c r="B2992" s="1064"/>
      <c r="C2992" s="1065"/>
      <c r="D2992" s="1058"/>
      <c r="E2992" s="1058"/>
      <c r="F2992" s="1066"/>
      <c r="G2992" s="1059"/>
      <c r="H2992" s="1067"/>
      <c r="I2992" s="1059"/>
      <c r="J2992" s="1068"/>
      <c r="K2992" s="1064"/>
      <c r="L2992" s="1069"/>
      <c r="M2992" s="1069"/>
      <c r="N2992" s="1069"/>
      <c r="O2992" s="1070"/>
      <c r="P2992" s="1071"/>
      <c r="Q2992" s="1058"/>
      <c r="R2992" s="1063"/>
    </row>
    <row r="2993" spans="1:18" s="90" customFormat="1">
      <c r="A2993" s="1058"/>
      <c r="B2993" s="1064"/>
      <c r="C2993" s="1065"/>
      <c r="D2993" s="1058"/>
      <c r="E2993" s="1058"/>
      <c r="F2993" s="1066"/>
      <c r="G2993" s="1059"/>
      <c r="H2993" s="1067"/>
      <c r="I2993" s="1059"/>
      <c r="J2993" s="1068"/>
      <c r="K2993" s="1064"/>
      <c r="L2993" s="1069"/>
      <c r="M2993" s="1069"/>
      <c r="N2993" s="1069"/>
      <c r="O2993" s="1070"/>
      <c r="P2993" s="1071"/>
      <c r="Q2993" s="1058"/>
      <c r="R2993" s="1063"/>
    </row>
    <row r="2994" spans="1:18" s="90" customFormat="1">
      <c r="A2994" s="1058"/>
      <c r="B2994" s="1064"/>
      <c r="C2994" s="1065"/>
      <c r="D2994" s="1058"/>
      <c r="E2994" s="1058"/>
      <c r="F2994" s="1066"/>
      <c r="G2994" s="1059"/>
      <c r="H2994" s="1067"/>
      <c r="I2994" s="1059"/>
      <c r="J2994" s="1068"/>
      <c r="K2994" s="1064"/>
      <c r="L2994" s="1069"/>
      <c r="M2994" s="1069"/>
      <c r="N2994" s="1069"/>
      <c r="O2994" s="1070"/>
      <c r="P2994" s="1071"/>
      <c r="Q2994" s="1058"/>
      <c r="R2994" s="1063"/>
    </row>
    <row r="2995" spans="1:18" s="90" customFormat="1">
      <c r="A2995" s="1058"/>
      <c r="B2995" s="1064"/>
      <c r="C2995" s="1065"/>
      <c r="D2995" s="1058"/>
      <c r="E2995" s="1058"/>
      <c r="F2995" s="1066"/>
      <c r="G2995" s="1059"/>
      <c r="H2995" s="1067"/>
      <c r="I2995" s="1059"/>
      <c r="J2995" s="1068"/>
      <c r="K2995" s="1064"/>
      <c r="L2995" s="1069"/>
      <c r="M2995" s="1069"/>
      <c r="N2995" s="1069"/>
      <c r="O2995" s="1070"/>
      <c r="P2995" s="1071"/>
      <c r="Q2995" s="1058"/>
      <c r="R2995" s="1063"/>
    </row>
    <row r="2996" spans="1:18" s="90" customFormat="1">
      <c r="A2996" s="1058"/>
      <c r="B2996" s="1064"/>
      <c r="C2996" s="1065"/>
      <c r="D2996" s="1058"/>
      <c r="E2996" s="1058"/>
      <c r="F2996" s="1066"/>
      <c r="G2996" s="1059"/>
      <c r="H2996" s="1067"/>
      <c r="I2996" s="1059"/>
      <c r="J2996" s="1068"/>
      <c r="K2996" s="1064"/>
      <c r="L2996" s="1069"/>
      <c r="M2996" s="1069"/>
      <c r="N2996" s="1069"/>
      <c r="O2996" s="1070"/>
      <c r="P2996" s="1071"/>
      <c r="Q2996" s="1058"/>
      <c r="R2996" s="1063"/>
    </row>
    <row r="2997" spans="1:18" s="90" customFormat="1">
      <c r="A2997" s="1058"/>
      <c r="B2997" s="1064"/>
      <c r="C2997" s="1065"/>
      <c r="D2997" s="1058"/>
      <c r="E2997" s="1058"/>
      <c r="F2997" s="1066"/>
      <c r="G2997" s="1059"/>
      <c r="H2997" s="1067"/>
      <c r="I2997" s="1059"/>
      <c r="J2997" s="1068"/>
      <c r="K2997" s="1064"/>
      <c r="L2997" s="1069"/>
      <c r="M2997" s="1069"/>
      <c r="N2997" s="1069"/>
      <c r="O2997" s="1070"/>
      <c r="P2997" s="1071"/>
      <c r="Q2997" s="1058"/>
      <c r="R2997" s="1063"/>
    </row>
    <row r="2998" spans="1:18" s="90" customFormat="1">
      <c r="A2998" s="1058"/>
      <c r="B2998" s="1064"/>
      <c r="C2998" s="1065"/>
      <c r="D2998" s="1058"/>
      <c r="E2998" s="1058"/>
      <c r="F2998" s="1066"/>
      <c r="G2998" s="1059"/>
      <c r="H2998" s="1067"/>
      <c r="I2998" s="1059"/>
      <c r="J2998" s="1068"/>
      <c r="K2998" s="1064"/>
      <c r="L2998" s="1069"/>
      <c r="M2998" s="1069"/>
      <c r="N2998" s="1069"/>
      <c r="O2998" s="1070"/>
      <c r="P2998" s="1071"/>
      <c r="Q2998" s="1058"/>
      <c r="R2998" s="1063"/>
    </row>
    <row r="2999" spans="1:18" s="90" customFormat="1">
      <c r="A2999" s="1058"/>
      <c r="B2999" s="1064"/>
      <c r="C2999" s="1065"/>
      <c r="D2999" s="1058"/>
      <c r="E2999" s="1058"/>
      <c r="F2999" s="1066"/>
      <c r="G2999" s="1059"/>
      <c r="H2999" s="1067"/>
      <c r="I2999" s="1059"/>
      <c r="J2999" s="1068"/>
      <c r="K2999" s="1064"/>
      <c r="L2999" s="1069"/>
      <c r="M2999" s="1069"/>
      <c r="N2999" s="1069"/>
      <c r="O2999" s="1070"/>
      <c r="P2999" s="1071"/>
      <c r="Q2999" s="1058"/>
      <c r="R2999" s="1063"/>
    </row>
    <row r="3000" spans="1:18" s="90" customFormat="1">
      <c r="A3000" s="1058"/>
      <c r="B3000" s="1064"/>
      <c r="C3000" s="1065"/>
      <c r="D3000" s="1058"/>
      <c r="E3000" s="1058"/>
      <c r="F3000" s="1066"/>
      <c r="G3000" s="1059"/>
      <c r="H3000" s="1067"/>
      <c r="I3000" s="1059"/>
      <c r="J3000" s="1068"/>
      <c r="K3000" s="1064"/>
      <c r="L3000" s="1069"/>
      <c r="M3000" s="1069"/>
      <c r="N3000" s="1069"/>
      <c r="O3000" s="1070"/>
      <c r="P3000" s="1071"/>
      <c r="Q3000" s="1058"/>
      <c r="R3000" s="1063"/>
    </row>
    <row r="3001" spans="1:18" s="90" customFormat="1">
      <c r="A3001" s="1058"/>
      <c r="B3001" s="1064"/>
      <c r="C3001" s="1065"/>
      <c r="D3001" s="1058"/>
      <c r="E3001" s="1058"/>
      <c r="F3001" s="1066"/>
      <c r="G3001" s="1059"/>
      <c r="H3001" s="1067"/>
      <c r="I3001" s="1059"/>
      <c r="J3001" s="1068"/>
      <c r="K3001" s="1064"/>
      <c r="L3001" s="1069"/>
      <c r="M3001" s="1069"/>
      <c r="N3001" s="1069"/>
      <c r="O3001" s="1070"/>
      <c r="P3001" s="1071"/>
      <c r="Q3001" s="1058"/>
      <c r="R3001" s="1063"/>
    </row>
    <row r="3002" spans="1:18" s="90" customFormat="1">
      <c r="A3002" s="1058"/>
      <c r="B3002" s="1064"/>
      <c r="C3002" s="1065"/>
      <c r="D3002" s="1058"/>
      <c r="E3002" s="1058"/>
      <c r="F3002" s="1066"/>
      <c r="G3002" s="1059"/>
      <c r="H3002" s="1067"/>
      <c r="I3002" s="1059"/>
      <c r="J3002" s="1068"/>
      <c r="K3002" s="1064"/>
      <c r="L3002" s="1069"/>
      <c r="M3002" s="1069"/>
      <c r="N3002" s="1069"/>
      <c r="O3002" s="1070"/>
      <c r="P3002" s="1071"/>
      <c r="Q3002" s="1058"/>
      <c r="R3002" s="1063"/>
    </row>
    <row r="3003" spans="1:18" s="90" customFormat="1">
      <c r="A3003" s="1058"/>
      <c r="B3003" s="1064"/>
      <c r="C3003" s="1065"/>
      <c r="D3003" s="1058"/>
      <c r="E3003" s="1058"/>
      <c r="F3003" s="1066"/>
      <c r="G3003" s="1059"/>
      <c r="H3003" s="1067"/>
      <c r="I3003" s="1059"/>
      <c r="J3003" s="1068"/>
      <c r="K3003" s="1064"/>
      <c r="L3003" s="1069"/>
      <c r="M3003" s="1069"/>
      <c r="N3003" s="1069"/>
      <c r="O3003" s="1070"/>
      <c r="P3003" s="1071"/>
      <c r="Q3003" s="1058"/>
      <c r="R3003" s="1063"/>
    </row>
    <row r="3004" spans="1:18" s="90" customFormat="1">
      <c r="A3004" s="1058"/>
      <c r="B3004" s="1064"/>
      <c r="C3004" s="1065"/>
      <c r="D3004" s="1058"/>
      <c r="E3004" s="1058"/>
      <c r="F3004" s="1066"/>
      <c r="G3004" s="1059"/>
      <c r="H3004" s="1067"/>
      <c r="I3004" s="1059"/>
      <c r="J3004" s="1068"/>
      <c r="K3004" s="1064"/>
      <c r="L3004" s="1069"/>
      <c r="M3004" s="1069"/>
      <c r="N3004" s="1069"/>
      <c r="O3004" s="1070"/>
      <c r="P3004" s="1071"/>
      <c r="Q3004" s="1058"/>
      <c r="R3004" s="1063"/>
    </row>
    <row r="3005" spans="1:18" s="90" customFormat="1">
      <c r="A3005" s="1058"/>
      <c r="B3005" s="1064"/>
      <c r="C3005" s="1065"/>
      <c r="D3005" s="1058"/>
      <c r="E3005" s="1058"/>
      <c r="F3005" s="1066"/>
      <c r="G3005" s="1059"/>
      <c r="H3005" s="1067"/>
      <c r="I3005" s="1059"/>
      <c r="J3005" s="1068"/>
      <c r="K3005" s="1064"/>
      <c r="L3005" s="1069"/>
      <c r="M3005" s="1069"/>
      <c r="N3005" s="1069"/>
      <c r="O3005" s="1070"/>
      <c r="P3005" s="1071"/>
      <c r="Q3005" s="1058"/>
      <c r="R3005" s="1063"/>
    </row>
    <row r="3006" spans="1:18" s="90" customFormat="1">
      <c r="A3006" s="1058"/>
      <c r="B3006" s="1064"/>
      <c r="C3006" s="1065"/>
      <c r="D3006" s="1058"/>
      <c r="E3006" s="1058"/>
      <c r="F3006" s="1066"/>
      <c r="G3006" s="1059"/>
      <c r="H3006" s="1067"/>
      <c r="I3006" s="1059"/>
      <c r="J3006" s="1068"/>
      <c r="K3006" s="1064"/>
      <c r="L3006" s="1069"/>
      <c r="M3006" s="1069"/>
      <c r="N3006" s="1069"/>
      <c r="O3006" s="1070"/>
      <c r="P3006" s="1071"/>
      <c r="Q3006" s="1058"/>
      <c r="R3006" s="1063"/>
    </row>
    <row r="3007" spans="1:18" s="90" customFormat="1">
      <c r="A3007" s="1058"/>
      <c r="B3007" s="1064"/>
      <c r="C3007" s="1065"/>
      <c r="D3007" s="1058"/>
      <c r="E3007" s="1058"/>
      <c r="F3007" s="1066"/>
      <c r="G3007" s="1059"/>
      <c r="H3007" s="1067"/>
      <c r="I3007" s="1059"/>
      <c r="J3007" s="1068"/>
      <c r="K3007" s="1064"/>
      <c r="L3007" s="1069"/>
      <c r="M3007" s="1069"/>
      <c r="N3007" s="1069"/>
      <c r="O3007" s="1070"/>
      <c r="P3007" s="1071"/>
      <c r="Q3007" s="1058"/>
      <c r="R3007" s="1063"/>
    </row>
    <row r="3008" spans="1:18" s="90" customFormat="1">
      <c r="A3008" s="1058"/>
      <c r="B3008" s="1064"/>
      <c r="C3008" s="1065"/>
      <c r="D3008" s="1058"/>
      <c r="E3008" s="1058"/>
      <c r="F3008" s="1066"/>
      <c r="G3008" s="1059"/>
      <c r="H3008" s="1067"/>
      <c r="I3008" s="1059"/>
      <c r="J3008" s="1068"/>
      <c r="K3008" s="1064"/>
      <c r="L3008" s="1069"/>
      <c r="M3008" s="1069"/>
      <c r="N3008" s="1069"/>
      <c r="O3008" s="1070"/>
      <c r="P3008" s="1071"/>
      <c r="Q3008" s="1058"/>
      <c r="R3008" s="1063"/>
    </row>
    <row r="3009" spans="1:18" s="90" customFormat="1">
      <c r="A3009" s="1058"/>
      <c r="B3009" s="1064"/>
      <c r="C3009" s="1065"/>
      <c r="D3009" s="1058"/>
      <c r="E3009" s="1058"/>
      <c r="F3009" s="1066"/>
      <c r="G3009" s="1059"/>
      <c r="H3009" s="1067"/>
      <c r="I3009" s="1059"/>
      <c r="J3009" s="1068"/>
      <c r="K3009" s="1064"/>
      <c r="L3009" s="1069"/>
      <c r="M3009" s="1069"/>
      <c r="N3009" s="1069"/>
      <c r="O3009" s="1070"/>
      <c r="P3009" s="1071"/>
      <c r="Q3009" s="1058"/>
      <c r="R3009" s="1063"/>
    </row>
    <row r="3010" spans="1:18" s="90" customFormat="1">
      <c r="A3010" s="1058"/>
      <c r="B3010" s="1064"/>
      <c r="C3010" s="1065"/>
      <c r="D3010" s="1058"/>
      <c r="E3010" s="1058"/>
      <c r="F3010" s="1066"/>
      <c r="G3010" s="1059"/>
      <c r="H3010" s="1067"/>
      <c r="I3010" s="1059"/>
      <c r="J3010" s="1068"/>
      <c r="K3010" s="1064"/>
      <c r="L3010" s="1069"/>
      <c r="M3010" s="1069"/>
      <c r="N3010" s="1069"/>
      <c r="O3010" s="1070"/>
      <c r="P3010" s="1071"/>
      <c r="Q3010" s="1058"/>
      <c r="R3010" s="1063"/>
    </row>
    <row r="3011" spans="1:18" s="90" customFormat="1">
      <c r="A3011" s="1058"/>
      <c r="B3011" s="1064"/>
      <c r="C3011" s="1065"/>
      <c r="D3011" s="1058"/>
      <c r="E3011" s="1058"/>
      <c r="F3011" s="1066"/>
      <c r="G3011" s="1059"/>
      <c r="H3011" s="1067"/>
      <c r="I3011" s="1059"/>
      <c r="J3011" s="1068"/>
      <c r="K3011" s="1064"/>
      <c r="L3011" s="1069"/>
      <c r="M3011" s="1069"/>
      <c r="N3011" s="1069"/>
      <c r="O3011" s="1070"/>
      <c r="P3011" s="1071"/>
      <c r="Q3011" s="1058"/>
      <c r="R3011" s="1063"/>
    </row>
    <row r="3012" spans="1:18" s="90" customFormat="1">
      <c r="A3012" s="1058"/>
      <c r="B3012" s="1064"/>
      <c r="C3012" s="1065"/>
      <c r="D3012" s="1058"/>
      <c r="E3012" s="1058"/>
      <c r="F3012" s="1066"/>
      <c r="G3012" s="1059"/>
      <c r="H3012" s="1067"/>
      <c r="I3012" s="1059"/>
      <c r="J3012" s="1068"/>
      <c r="K3012" s="1064"/>
      <c r="L3012" s="1069"/>
      <c r="M3012" s="1069"/>
      <c r="N3012" s="1069"/>
      <c r="O3012" s="1070"/>
      <c r="P3012" s="1071"/>
      <c r="Q3012" s="1058"/>
      <c r="R3012" s="1063"/>
    </row>
    <row r="3013" spans="1:18" s="90" customFormat="1">
      <c r="A3013" s="1058"/>
      <c r="B3013" s="1064"/>
      <c r="C3013" s="1065"/>
      <c r="D3013" s="1058"/>
      <c r="E3013" s="1058"/>
      <c r="F3013" s="1066"/>
      <c r="G3013" s="1059"/>
      <c r="H3013" s="1067"/>
      <c r="I3013" s="1059"/>
      <c r="J3013" s="1068"/>
      <c r="K3013" s="1064"/>
      <c r="L3013" s="1069"/>
      <c r="M3013" s="1069"/>
      <c r="N3013" s="1069"/>
      <c r="O3013" s="1070"/>
      <c r="P3013" s="1071"/>
      <c r="Q3013" s="1058"/>
      <c r="R3013" s="1063"/>
    </row>
    <row r="3014" spans="1:18" s="90" customFormat="1">
      <c r="A3014" s="1058"/>
      <c r="B3014" s="1064"/>
      <c r="C3014" s="1065"/>
      <c r="D3014" s="1058"/>
      <c r="E3014" s="1058"/>
      <c r="F3014" s="1066"/>
      <c r="G3014" s="1059"/>
      <c r="H3014" s="1067"/>
      <c r="I3014" s="1059"/>
      <c r="J3014" s="1068"/>
      <c r="K3014" s="1064"/>
      <c r="L3014" s="1069"/>
      <c r="M3014" s="1069"/>
      <c r="N3014" s="1069"/>
      <c r="O3014" s="1070"/>
      <c r="P3014" s="1071"/>
      <c r="Q3014" s="1058"/>
      <c r="R3014" s="1063"/>
    </row>
    <row r="3015" spans="1:18" s="90" customFormat="1">
      <c r="A3015" s="1058"/>
      <c r="B3015" s="1064"/>
      <c r="C3015" s="1065"/>
      <c r="D3015" s="1058"/>
      <c r="E3015" s="1058"/>
      <c r="F3015" s="1066"/>
      <c r="G3015" s="1059"/>
      <c r="H3015" s="1067"/>
      <c r="I3015" s="1059"/>
      <c r="J3015" s="1068"/>
      <c r="K3015" s="1064"/>
      <c r="L3015" s="1069"/>
      <c r="M3015" s="1069"/>
      <c r="N3015" s="1069"/>
      <c r="O3015" s="1070"/>
      <c r="P3015" s="1071"/>
      <c r="Q3015" s="1058"/>
      <c r="R3015" s="1063"/>
    </row>
    <row r="3016" spans="1:18" s="90" customFormat="1">
      <c r="A3016" s="1058"/>
      <c r="B3016" s="1064"/>
      <c r="C3016" s="1065"/>
      <c r="D3016" s="1058"/>
      <c r="E3016" s="1058"/>
      <c r="F3016" s="1066"/>
      <c r="G3016" s="1059"/>
      <c r="H3016" s="1067"/>
      <c r="I3016" s="1059"/>
      <c r="J3016" s="1068"/>
      <c r="K3016" s="1064"/>
      <c r="L3016" s="1069"/>
      <c r="M3016" s="1069"/>
      <c r="N3016" s="1069"/>
      <c r="O3016" s="1070"/>
      <c r="P3016" s="1071"/>
      <c r="Q3016" s="1058"/>
      <c r="R3016" s="1063"/>
    </row>
    <row r="3017" spans="1:18" s="90" customFormat="1">
      <c r="A3017" s="1058"/>
      <c r="B3017" s="1064"/>
      <c r="C3017" s="1065"/>
      <c r="D3017" s="1058"/>
      <c r="E3017" s="1058"/>
      <c r="F3017" s="1066"/>
      <c r="G3017" s="1059"/>
      <c r="H3017" s="1067"/>
      <c r="I3017" s="1059"/>
      <c r="J3017" s="1068"/>
      <c r="K3017" s="1064"/>
      <c r="L3017" s="1069"/>
      <c r="M3017" s="1069"/>
      <c r="N3017" s="1069"/>
      <c r="O3017" s="1070"/>
      <c r="P3017" s="1071"/>
      <c r="Q3017" s="1058"/>
      <c r="R3017" s="1063"/>
    </row>
    <row r="3018" spans="1:18" s="90" customFormat="1">
      <c r="A3018" s="1058"/>
      <c r="B3018" s="1064"/>
      <c r="C3018" s="1065"/>
      <c r="D3018" s="1058"/>
      <c r="E3018" s="1058"/>
      <c r="F3018" s="1066"/>
      <c r="G3018" s="1059"/>
      <c r="H3018" s="1067"/>
      <c r="I3018" s="1059"/>
      <c r="J3018" s="1068"/>
      <c r="K3018" s="1064"/>
      <c r="L3018" s="1069"/>
      <c r="M3018" s="1069"/>
      <c r="N3018" s="1069"/>
      <c r="O3018" s="1070"/>
      <c r="P3018" s="1071"/>
      <c r="Q3018" s="1058"/>
      <c r="R3018" s="1063"/>
    </row>
    <row r="3019" spans="1:18" s="90" customFormat="1">
      <c r="A3019" s="1058"/>
      <c r="B3019" s="1064"/>
      <c r="C3019" s="1065"/>
      <c r="D3019" s="1058"/>
      <c r="E3019" s="1058"/>
      <c r="F3019" s="1066"/>
      <c r="G3019" s="1059"/>
      <c r="H3019" s="1067"/>
      <c r="I3019" s="1059"/>
      <c r="J3019" s="1068"/>
      <c r="K3019" s="1064"/>
      <c r="L3019" s="1069"/>
      <c r="M3019" s="1069"/>
      <c r="N3019" s="1069"/>
      <c r="O3019" s="1070"/>
      <c r="P3019" s="1071"/>
      <c r="Q3019" s="1058"/>
      <c r="R3019" s="1063"/>
    </row>
    <row r="3020" spans="1:18" s="90" customFormat="1">
      <c r="A3020" s="1058"/>
      <c r="B3020" s="1064"/>
      <c r="C3020" s="1065"/>
      <c r="D3020" s="1058"/>
      <c r="E3020" s="1058"/>
      <c r="F3020" s="1066"/>
      <c r="G3020" s="1059"/>
      <c r="H3020" s="1067"/>
      <c r="I3020" s="1059"/>
      <c r="J3020" s="1068"/>
      <c r="K3020" s="1064"/>
      <c r="L3020" s="1069"/>
      <c r="M3020" s="1069"/>
      <c r="N3020" s="1069"/>
      <c r="O3020" s="1070"/>
      <c r="P3020" s="1071"/>
      <c r="Q3020" s="1058"/>
      <c r="R3020" s="1063"/>
    </row>
    <row r="3021" spans="1:18" s="90" customFormat="1">
      <c r="A3021" s="1058"/>
      <c r="B3021" s="1064"/>
      <c r="C3021" s="1065"/>
      <c r="D3021" s="1058"/>
      <c r="E3021" s="1058"/>
      <c r="F3021" s="1066"/>
      <c r="G3021" s="1059"/>
      <c r="H3021" s="1067"/>
      <c r="I3021" s="1059"/>
      <c r="J3021" s="1068"/>
      <c r="K3021" s="1064"/>
      <c r="L3021" s="1069"/>
      <c r="M3021" s="1069"/>
      <c r="N3021" s="1069"/>
      <c r="O3021" s="1070"/>
      <c r="P3021" s="1071"/>
      <c r="Q3021" s="1058"/>
      <c r="R3021" s="1063"/>
    </row>
    <row r="3022" spans="1:18" s="90" customFormat="1">
      <c r="A3022" s="1058"/>
      <c r="B3022" s="1064"/>
      <c r="C3022" s="1065"/>
      <c r="D3022" s="1058"/>
      <c r="E3022" s="1058"/>
      <c r="F3022" s="1066"/>
      <c r="G3022" s="1059"/>
      <c r="H3022" s="1067"/>
      <c r="I3022" s="1059"/>
      <c r="J3022" s="1068"/>
      <c r="K3022" s="1064"/>
      <c r="L3022" s="1069"/>
      <c r="M3022" s="1069"/>
      <c r="N3022" s="1069"/>
      <c r="O3022" s="1070"/>
      <c r="P3022" s="1071"/>
      <c r="Q3022" s="1058"/>
      <c r="R3022" s="1063"/>
    </row>
    <row r="3023" spans="1:18" s="90" customFormat="1">
      <c r="A3023" s="1058"/>
      <c r="B3023" s="1064"/>
      <c r="C3023" s="1065"/>
      <c r="D3023" s="1058"/>
      <c r="E3023" s="1058"/>
      <c r="F3023" s="1066"/>
      <c r="G3023" s="1059"/>
      <c r="H3023" s="1067"/>
      <c r="I3023" s="1059"/>
      <c r="J3023" s="1068"/>
      <c r="K3023" s="1064"/>
      <c r="L3023" s="1069"/>
      <c r="M3023" s="1069"/>
      <c r="N3023" s="1069"/>
      <c r="O3023" s="1070"/>
      <c r="P3023" s="1071"/>
      <c r="Q3023" s="1058"/>
      <c r="R3023" s="1063"/>
    </row>
    <row r="3024" spans="1:18" s="90" customFormat="1">
      <c r="A3024" s="1058"/>
      <c r="B3024" s="1064"/>
      <c r="C3024" s="1065"/>
      <c r="D3024" s="1058"/>
      <c r="E3024" s="1058"/>
      <c r="F3024" s="1066"/>
      <c r="G3024" s="1059"/>
      <c r="H3024" s="1067"/>
      <c r="I3024" s="1059"/>
      <c r="J3024" s="1068"/>
      <c r="K3024" s="1064"/>
      <c r="L3024" s="1069"/>
      <c r="M3024" s="1069"/>
      <c r="N3024" s="1069"/>
      <c r="O3024" s="1070"/>
      <c r="P3024" s="1071"/>
      <c r="Q3024" s="1058"/>
      <c r="R3024" s="1063"/>
    </row>
    <row r="3025" spans="1:18" s="90" customFormat="1">
      <c r="A3025" s="1058"/>
      <c r="B3025" s="1064"/>
      <c r="C3025" s="1065"/>
      <c r="D3025" s="1058"/>
      <c r="E3025" s="1058"/>
      <c r="F3025" s="1066"/>
      <c r="G3025" s="1059"/>
      <c r="H3025" s="1067"/>
      <c r="I3025" s="1059"/>
      <c r="J3025" s="1068"/>
      <c r="K3025" s="1064"/>
      <c r="L3025" s="1069"/>
      <c r="M3025" s="1069"/>
      <c r="N3025" s="1069"/>
      <c r="O3025" s="1070"/>
      <c r="P3025" s="1071"/>
      <c r="Q3025" s="1058"/>
      <c r="R3025" s="1063"/>
    </row>
    <row r="3026" spans="1:18" s="90" customFormat="1">
      <c r="A3026" s="1058"/>
      <c r="B3026" s="1064"/>
      <c r="C3026" s="1065"/>
      <c r="D3026" s="1058"/>
      <c r="E3026" s="1058"/>
      <c r="F3026" s="1066"/>
      <c r="G3026" s="1059"/>
      <c r="H3026" s="1067"/>
      <c r="I3026" s="1059"/>
      <c r="J3026" s="1068"/>
      <c r="K3026" s="1064"/>
      <c r="L3026" s="1069"/>
      <c r="M3026" s="1069"/>
      <c r="N3026" s="1069"/>
      <c r="O3026" s="1070"/>
      <c r="P3026" s="1071"/>
      <c r="Q3026" s="1058"/>
      <c r="R3026" s="1063"/>
    </row>
    <row r="3027" spans="1:18" s="90" customFormat="1">
      <c r="A3027" s="1058"/>
      <c r="B3027" s="1064"/>
      <c r="C3027" s="1065"/>
      <c r="D3027" s="1058"/>
      <c r="E3027" s="1058"/>
      <c r="F3027" s="1066"/>
      <c r="G3027" s="1059"/>
      <c r="H3027" s="1067"/>
      <c r="I3027" s="1059"/>
      <c r="J3027" s="1068"/>
      <c r="K3027" s="1064"/>
      <c r="L3027" s="1069"/>
      <c r="M3027" s="1069"/>
      <c r="N3027" s="1069"/>
      <c r="O3027" s="1070"/>
      <c r="P3027" s="1071"/>
      <c r="Q3027" s="1058"/>
      <c r="R3027" s="1063"/>
    </row>
    <row r="3028" spans="1:18" s="90" customFormat="1">
      <c r="A3028" s="1058"/>
      <c r="B3028" s="1064"/>
      <c r="C3028" s="1065"/>
      <c r="D3028" s="1058"/>
      <c r="E3028" s="1058"/>
      <c r="F3028" s="1066"/>
      <c r="G3028" s="1059"/>
      <c r="H3028" s="1067"/>
      <c r="I3028" s="1059"/>
      <c r="J3028" s="1068"/>
      <c r="K3028" s="1064"/>
      <c r="L3028" s="1069"/>
      <c r="M3028" s="1069"/>
      <c r="N3028" s="1069"/>
      <c r="O3028" s="1070"/>
      <c r="P3028" s="1071"/>
      <c r="Q3028" s="1058"/>
      <c r="R3028" s="1063"/>
    </row>
    <row r="3029" spans="1:18" s="90" customFormat="1">
      <c r="A3029" s="1058"/>
      <c r="B3029" s="1064"/>
      <c r="C3029" s="1065"/>
      <c r="D3029" s="1058"/>
      <c r="E3029" s="1058"/>
      <c r="F3029" s="1066"/>
      <c r="G3029" s="1059"/>
      <c r="H3029" s="1067"/>
      <c r="I3029" s="1059"/>
      <c r="J3029" s="1068"/>
      <c r="K3029" s="1064"/>
      <c r="L3029" s="1069"/>
      <c r="M3029" s="1069"/>
      <c r="N3029" s="1069"/>
      <c r="O3029" s="1070"/>
      <c r="P3029" s="1071"/>
      <c r="Q3029" s="1058"/>
      <c r="R3029" s="1063"/>
    </row>
    <row r="3030" spans="1:18" s="90" customFormat="1">
      <c r="A3030" s="1058"/>
      <c r="B3030" s="1064"/>
      <c r="C3030" s="1065"/>
      <c r="D3030" s="1058"/>
      <c r="E3030" s="1058"/>
      <c r="F3030" s="1066"/>
      <c r="G3030" s="1059"/>
      <c r="H3030" s="1067"/>
      <c r="I3030" s="1059"/>
      <c r="J3030" s="1068"/>
      <c r="K3030" s="1064"/>
      <c r="L3030" s="1069"/>
      <c r="M3030" s="1069"/>
      <c r="N3030" s="1069"/>
      <c r="O3030" s="1070"/>
      <c r="P3030" s="1071"/>
      <c r="Q3030" s="1058"/>
      <c r="R3030" s="1063"/>
    </row>
    <row r="3031" spans="1:18" s="90" customFormat="1">
      <c r="A3031" s="1058"/>
      <c r="B3031" s="1064"/>
      <c r="C3031" s="1065"/>
      <c r="D3031" s="1058"/>
      <c r="E3031" s="1058"/>
      <c r="F3031" s="1066"/>
      <c r="G3031" s="1059"/>
      <c r="H3031" s="1067"/>
      <c r="I3031" s="1059"/>
      <c r="J3031" s="1068"/>
      <c r="K3031" s="1064"/>
      <c r="L3031" s="1069"/>
      <c r="M3031" s="1069"/>
      <c r="N3031" s="1069"/>
      <c r="O3031" s="1070"/>
      <c r="P3031" s="1071"/>
      <c r="Q3031" s="1058"/>
      <c r="R3031" s="1063"/>
    </row>
    <row r="3032" spans="1:18" s="90" customFormat="1">
      <c r="A3032" s="1058"/>
      <c r="B3032" s="1064"/>
      <c r="C3032" s="1065"/>
      <c r="D3032" s="1058"/>
      <c r="E3032" s="1058"/>
      <c r="F3032" s="1066"/>
      <c r="G3032" s="1059"/>
      <c r="H3032" s="1067"/>
      <c r="I3032" s="1059"/>
      <c r="J3032" s="1068"/>
      <c r="K3032" s="1064"/>
      <c r="L3032" s="1069"/>
      <c r="M3032" s="1069"/>
      <c r="N3032" s="1069"/>
      <c r="O3032" s="1070"/>
      <c r="P3032" s="1071"/>
      <c r="Q3032" s="1058"/>
      <c r="R3032" s="1063"/>
    </row>
    <row r="3033" spans="1:18" s="90" customFormat="1">
      <c r="A3033" s="1058"/>
      <c r="B3033" s="1064"/>
      <c r="C3033" s="1065"/>
      <c r="D3033" s="1058"/>
      <c r="E3033" s="1058"/>
      <c r="F3033" s="1066"/>
      <c r="G3033" s="1059"/>
      <c r="H3033" s="1067"/>
      <c r="I3033" s="1059"/>
      <c r="J3033" s="1068"/>
      <c r="K3033" s="1064"/>
      <c r="L3033" s="1069"/>
      <c r="M3033" s="1069"/>
      <c r="N3033" s="1069"/>
      <c r="O3033" s="1070"/>
      <c r="P3033" s="1071"/>
      <c r="Q3033" s="1058"/>
      <c r="R3033" s="1063"/>
    </row>
    <row r="3034" spans="1:18" s="90" customFormat="1">
      <c r="A3034" s="1058"/>
      <c r="B3034" s="1064"/>
      <c r="C3034" s="1065"/>
      <c r="D3034" s="1058"/>
      <c r="E3034" s="1058"/>
      <c r="F3034" s="1066"/>
      <c r="G3034" s="1059"/>
      <c r="H3034" s="1067"/>
      <c r="I3034" s="1059"/>
      <c r="J3034" s="1068"/>
      <c r="K3034" s="1064"/>
      <c r="L3034" s="1069"/>
      <c r="M3034" s="1069"/>
      <c r="N3034" s="1069"/>
      <c r="O3034" s="1070"/>
      <c r="P3034" s="1071"/>
      <c r="Q3034" s="1058"/>
      <c r="R3034" s="1063"/>
    </row>
    <row r="3035" spans="1:18" s="90" customFormat="1">
      <c r="A3035" s="1058"/>
      <c r="B3035" s="1064"/>
      <c r="C3035" s="1065"/>
      <c r="D3035" s="1058"/>
      <c r="E3035" s="1058"/>
      <c r="F3035" s="1066"/>
      <c r="G3035" s="1059"/>
      <c r="H3035" s="1067"/>
      <c r="I3035" s="1059"/>
      <c r="J3035" s="1068"/>
      <c r="K3035" s="1064"/>
      <c r="L3035" s="1069"/>
      <c r="M3035" s="1069"/>
      <c r="N3035" s="1069"/>
      <c r="O3035" s="1070"/>
      <c r="P3035" s="1071"/>
      <c r="Q3035" s="1058"/>
      <c r="R3035" s="1063"/>
    </row>
    <row r="3036" spans="1:18" s="90" customFormat="1">
      <c r="A3036" s="1058"/>
      <c r="B3036" s="1064"/>
      <c r="C3036" s="1065"/>
      <c r="D3036" s="1058"/>
      <c r="E3036" s="1058"/>
      <c r="F3036" s="1066"/>
      <c r="G3036" s="1059"/>
      <c r="H3036" s="1067"/>
      <c r="I3036" s="1059"/>
      <c r="J3036" s="1068"/>
      <c r="K3036" s="1064"/>
      <c r="L3036" s="1069"/>
      <c r="M3036" s="1069"/>
      <c r="N3036" s="1069"/>
      <c r="O3036" s="1070"/>
      <c r="P3036" s="1071"/>
      <c r="Q3036" s="1058"/>
      <c r="R3036" s="1063"/>
    </row>
    <row r="3037" spans="1:18" s="90" customFormat="1">
      <c r="A3037" s="1058"/>
      <c r="B3037" s="1064"/>
      <c r="C3037" s="1065"/>
      <c r="D3037" s="1058"/>
      <c r="E3037" s="1058"/>
      <c r="F3037" s="1066"/>
      <c r="G3037" s="1059"/>
      <c r="H3037" s="1067"/>
      <c r="I3037" s="1059"/>
      <c r="J3037" s="1068"/>
      <c r="K3037" s="1064"/>
      <c r="L3037" s="1069"/>
      <c r="M3037" s="1069"/>
      <c r="N3037" s="1069"/>
      <c r="O3037" s="1070"/>
      <c r="P3037" s="1071"/>
      <c r="Q3037" s="1058"/>
      <c r="R3037" s="1063"/>
    </row>
    <row r="3038" spans="1:18" s="90" customFormat="1">
      <c r="A3038" s="1058"/>
      <c r="B3038" s="1064"/>
      <c r="C3038" s="1065"/>
      <c r="D3038" s="1058"/>
      <c r="E3038" s="1058"/>
      <c r="F3038" s="1066"/>
      <c r="G3038" s="1059"/>
      <c r="H3038" s="1067"/>
      <c r="I3038" s="1059"/>
      <c r="J3038" s="1068"/>
      <c r="K3038" s="1064"/>
      <c r="L3038" s="1069"/>
      <c r="M3038" s="1069"/>
      <c r="N3038" s="1069"/>
      <c r="O3038" s="1070"/>
      <c r="P3038" s="1071"/>
      <c r="Q3038" s="1058"/>
      <c r="R3038" s="1063"/>
    </row>
    <row r="3039" spans="1:18" s="90" customFormat="1">
      <c r="A3039" s="1058"/>
      <c r="B3039" s="1064"/>
      <c r="C3039" s="1065"/>
      <c r="D3039" s="1058"/>
      <c r="E3039" s="1058"/>
      <c r="F3039" s="1066"/>
      <c r="G3039" s="1059"/>
      <c r="H3039" s="1067"/>
      <c r="I3039" s="1059"/>
      <c r="J3039" s="1068"/>
      <c r="K3039" s="1064"/>
      <c r="L3039" s="1069"/>
      <c r="M3039" s="1069"/>
      <c r="N3039" s="1069"/>
      <c r="O3039" s="1070"/>
      <c r="P3039" s="1071"/>
      <c r="Q3039" s="1058"/>
      <c r="R3039" s="1063"/>
    </row>
    <row r="3040" spans="1:18" s="90" customFormat="1">
      <c r="A3040" s="1058"/>
      <c r="B3040" s="1064"/>
      <c r="C3040" s="1065"/>
      <c r="D3040" s="1058"/>
      <c r="E3040" s="1058"/>
      <c r="F3040" s="1066"/>
      <c r="G3040" s="1059"/>
      <c r="H3040" s="1067"/>
      <c r="I3040" s="1059"/>
      <c r="J3040" s="1068"/>
      <c r="K3040" s="1064"/>
      <c r="L3040" s="1069"/>
      <c r="M3040" s="1069"/>
      <c r="N3040" s="1069"/>
      <c r="O3040" s="1070"/>
      <c r="P3040" s="1071"/>
      <c r="Q3040" s="1058"/>
      <c r="R3040" s="1063"/>
    </row>
    <row r="3041" spans="1:18" s="90" customFormat="1">
      <c r="A3041" s="1058"/>
      <c r="B3041" s="1064"/>
      <c r="C3041" s="1065"/>
      <c r="D3041" s="1058"/>
      <c r="E3041" s="1058"/>
      <c r="F3041" s="1066"/>
      <c r="G3041" s="1059"/>
      <c r="H3041" s="1067"/>
      <c r="I3041" s="1059"/>
      <c r="J3041" s="1068"/>
      <c r="K3041" s="1064"/>
      <c r="L3041" s="1069"/>
      <c r="M3041" s="1069"/>
      <c r="N3041" s="1069"/>
      <c r="O3041" s="1070"/>
      <c r="P3041" s="1071"/>
      <c r="Q3041" s="1058"/>
      <c r="R3041" s="1063"/>
    </row>
    <row r="3042" spans="1:18" s="90" customFormat="1">
      <c r="A3042" s="1058"/>
      <c r="B3042" s="1064"/>
      <c r="C3042" s="1065"/>
      <c r="D3042" s="1058"/>
      <c r="E3042" s="1058"/>
      <c r="F3042" s="1066"/>
      <c r="G3042" s="1059"/>
      <c r="H3042" s="1067"/>
      <c r="I3042" s="1059"/>
      <c r="J3042" s="1068"/>
      <c r="K3042" s="1064"/>
      <c r="L3042" s="1069"/>
      <c r="M3042" s="1069"/>
      <c r="N3042" s="1069"/>
      <c r="O3042" s="1070"/>
      <c r="P3042" s="1071"/>
      <c r="Q3042" s="1058"/>
      <c r="R3042" s="1063"/>
    </row>
    <row r="3043" spans="1:18" s="90" customFormat="1">
      <c r="A3043" s="1058"/>
      <c r="B3043" s="1064"/>
      <c r="C3043" s="1065"/>
      <c r="D3043" s="1058"/>
      <c r="E3043" s="1058"/>
      <c r="F3043" s="1066"/>
      <c r="G3043" s="1059"/>
      <c r="H3043" s="1067"/>
      <c r="I3043" s="1059"/>
      <c r="J3043" s="1068"/>
      <c r="K3043" s="1064"/>
      <c r="L3043" s="1069"/>
      <c r="M3043" s="1069"/>
      <c r="N3043" s="1069"/>
      <c r="O3043" s="1070"/>
      <c r="P3043" s="1071"/>
      <c r="Q3043" s="1058"/>
      <c r="R3043" s="1063"/>
    </row>
    <row r="3044" spans="1:18" s="90" customFormat="1">
      <c r="A3044" s="1058"/>
      <c r="B3044" s="1064"/>
      <c r="C3044" s="1065"/>
      <c r="D3044" s="1058"/>
      <c r="E3044" s="1058"/>
      <c r="F3044" s="1066"/>
      <c r="G3044" s="1059"/>
      <c r="H3044" s="1067"/>
      <c r="I3044" s="1059"/>
      <c r="J3044" s="1068"/>
      <c r="K3044" s="1064"/>
      <c r="L3044" s="1069"/>
      <c r="M3044" s="1069"/>
      <c r="N3044" s="1069"/>
      <c r="O3044" s="1070"/>
      <c r="P3044" s="1071"/>
      <c r="Q3044" s="1058"/>
      <c r="R3044" s="1063"/>
    </row>
    <row r="3045" spans="1:18" s="90" customFormat="1">
      <c r="A3045" s="1058"/>
      <c r="B3045" s="1064"/>
      <c r="C3045" s="1065"/>
      <c r="D3045" s="1058"/>
      <c r="E3045" s="1058"/>
      <c r="F3045" s="1066"/>
      <c r="G3045" s="1059"/>
      <c r="H3045" s="1067"/>
      <c r="I3045" s="1059"/>
      <c r="J3045" s="1068"/>
      <c r="K3045" s="1064"/>
      <c r="L3045" s="1069"/>
      <c r="M3045" s="1069"/>
      <c r="N3045" s="1069"/>
      <c r="O3045" s="1070"/>
      <c r="P3045" s="1071"/>
      <c r="Q3045" s="1058"/>
      <c r="R3045" s="1063"/>
    </row>
    <row r="3046" spans="1:18" s="90" customFormat="1">
      <c r="A3046" s="1058"/>
      <c r="B3046" s="1064"/>
      <c r="C3046" s="1065"/>
      <c r="D3046" s="1058"/>
      <c r="E3046" s="1058"/>
      <c r="F3046" s="1066"/>
      <c r="G3046" s="1059"/>
      <c r="H3046" s="1067"/>
      <c r="I3046" s="1059"/>
      <c r="J3046" s="1068"/>
      <c r="K3046" s="1064"/>
      <c r="L3046" s="1069"/>
      <c r="M3046" s="1069"/>
      <c r="N3046" s="1069"/>
      <c r="O3046" s="1070"/>
      <c r="P3046" s="1071"/>
      <c r="Q3046" s="1058"/>
      <c r="R3046" s="1063"/>
    </row>
    <row r="3047" spans="1:18" s="90" customFormat="1">
      <c r="A3047" s="1058"/>
      <c r="B3047" s="1064"/>
      <c r="C3047" s="1065"/>
      <c r="D3047" s="1058"/>
      <c r="E3047" s="1058"/>
      <c r="F3047" s="1066"/>
      <c r="G3047" s="1059"/>
      <c r="H3047" s="1067"/>
      <c r="I3047" s="1059"/>
      <c r="J3047" s="1068"/>
      <c r="K3047" s="1064"/>
      <c r="L3047" s="1069"/>
      <c r="M3047" s="1069"/>
      <c r="N3047" s="1069"/>
      <c r="O3047" s="1070"/>
      <c r="P3047" s="1071"/>
      <c r="Q3047" s="1058"/>
      <c r="R3047" s="1063"/>
    </row>
    <row r="3048" spans="1:18" s="90" customFormat="1">
      <c r="A3048" s="1058"/>
      <c r="B3048" s="1064"/>
      <c r="C3048" s="1065"/>
      <c r="D3048" s="1058"/>
      <c r="E3048" s="1058"/>
      <c r="F3048" s="1066"/>
      <c r="G3048" s="1059"/>
      <c r="H3048" s="1067"/>
      <c r="I3048" s="1059"/>
      <c r="J3048" s="1068"/>
      <c r="K3048" s="1064"/>
      <c r="L3048" s="1069"/>
      <c r="M3048" s="1069"/>
      <c r="N3048" s="1069"/>
      <c r="O3048" s="1070"/>
      <c r="P3048" s="1071"/>
      <c r="Q3048" s="1058"/>
      <c r="R3048" s="1063"/>
    </row>
    <row r="3049" spans="1:18" s="90" customFormat="1">
      <c r="A3049" s="1058"/>
      <c r="B3049" s="1064"/>
      <c r="C3049" s="1065"/>
      <c r="D3049" s="1058"/>
      <c r="E3049" s="1058"/>
      <c r="F3049" s="1066"/>
      <c r="G3049" s="1059"/>
      <c r="H3049" s="1067"/>
      <c r="I3049" s="1059"/>
      <c r="J3049" s="1068"/>
      <c r="K3049" s="1064"/>
      <c r="L3049" s="1069"/>
      <c r="M3049" s="1069"/>
      <c r="N3049" s="1069"/>
      <c r="O3049" s="1070"/>
      <c r="P3049" s="1071"/>
      <c r="Q3049" s="1058"/>
      <c r="R3049" s="1063"/>
    </row>
    <row r="3050" spans="1:18" s="90" customFormat="1">
      <c r="A3050" s="1058"/>
      <c r="B3050" s="1064"/>
      <c r="C3050" s="1065"/>
      <c r="D3050" s="1058"/>
      <c r="E3050" s="1058"/>
      <c r="F3050" s="1066"/>
      <c r="G3050" s="1059"/>
      <c r="H3050" s="1067"/>
      <c r="I3050" s="1059"/>
      <c r="J3050" s="1068"/>
      <c r="K3050" s="1064"/>
      <c r="L3050" s="1069"/>
      <c r="M3050" s="1069"/>
      <c r="N3050" s="1069"/>
      <c r="O3050" s="1070"/>
      <c r="P3050" s="1071"/>
      <c r="Q3050" s="1058"/>
      <c r="R3050" s="1063"/>
    </row>
    <row r="3051" spans="1:18" s="90" customFormat="1">
      <c r="A3051" s="1058"/>
      <c r="B3051" s="1064"/>
      <c r="C3051" s="1065"/>
      <c r="D3051" s="1058"/>
      <c r="E3051" s="1058"/>
      <c r="F3051" s="1066"/>
      <c r="G3051" s="1059"/>
      <c r="H3051" s="1067"/>
      <c r="I3051" s="1059"/>
      <c r="J3051" s="1068"/>
      <c r="K3051" s="1064"/>
      <c r="L3051" s="1069"/>
      <c r="M3051" s="1069"/>
      <c r="N3051" s="1069"/>
      <c r="O3051" s="1070"/>
      <c r="P3051" s="1071"/>
      <c r="Q3051" s="1058"/>
      <c r="R3051" s="1063"/>
    </row>
    <row r="3052" spans="1:18" s="90" customFormat="1">
      <c r="A3052" s="1058"/>
      <c r="B3052" s="1064"/>
      <c r="C3052" s="1065"/>
      <c r="D3052" s="1058"/>
      <c r="E3052" s="1058"/>
      <c r="F3052" s="1066"/>
      <c r="G3052" s="1059"/>
      <c r="H3052" s="1067"/>
      <c r="I3052" s="1059"/>
      <c r="J3052" s="1068"/>
      <c r="K3052" s="1064"/>
      <c r="L3052" s="1069"/>
      <c r="M3052" s="1069"/>
      <c r="N3052" s="1069"/>
      <c r="O3052" s="1070"/>
      <c r="P3052" s="1071"/>
      <c r="Q3052" s="1058"/>
      <c r="R3052" s="1063"/>
    </row>
    <row r="3053" spans="1:18" s="90" customFormat="1">
      <c r="A3053" s="1058"/>
      <c r="B3053" s="1064"/>
      <c r="C3053" s="1065"/>
      <c r="D3053" s="1058"/>
      <c r="E3053" s="1058"/>
      <c r="F3053" s="1066"/>
      <c r="G3053" s="1059"/>
      <c r="H3053" s="1067"/>
      <c r="I3053" s="1059"/>
      <c r="J3053" s="1068"/>
      <c r="K3053" s="1064"/>
      <c r="L3053" s="1069"/>
      <c r="M3053" s="1069"/>
      <c r="N3053" s="1069"/>
      <c r="O3053" s="1070"/>
      <c r="P3053" s="1071"/>
      <c r="Q3053" s="1058"/>
      <c r="R3053" s="1063"/>
    </row>
    <row r="3054" spans="1:18" s="90" customFormat="1">
      <c r="A3054" s="1058"/>
      <c r="B3054" s="1064"/>
      <c r="C3054" s="1065"/>
      <c r="D3054" s="1058"/>
      <c r="E3054" s="1058"/>
      <c r="F3054" s="1066"/>
      <c r="G3054" s="1059"/>
      <c r="H3054" s="1067"/>
      <c r="I3054" s="1059"/>
      <c r="J3054" s="1068"/>
      <c r="K3054" s="1064"/>
      <c r="L3054" s="1069"/>
      <c r="M3054" s="1069"/>
      <c r="N3054" s="1069"/>
      <c r="O3054" s="1070"/>
      <c r="P3054" s="1071"/>
      <c r="Q3054" s="1058"/>
      <c r="R3054" s="1063"/>
    </row>
    <row r="3055" spans="1:18" s="90" customFormat="1">
      <c r="A3055" s="1058"/>
      <c r="B3055" s="1064"/>
      <c r="C3055" s="1065"/>
      <c r="D3055" s="1058"/>
      <c r="E3055" s="1058"/>
      <c r="F3055" s="1066"/>
      <c r="G3055" s="1059"/>
      <c r="H3055" s="1067"/>
      <c r="I3055" s="1059"/>
      <c r="J3055" s="1068"/>
      <c r="K3055" s="1064"/>
      <c r="L3055" s="1069"/>
      <c r="M3055" s="1069"/>
      <c r="N3055" s="1069"/>
      <c r="O3055" s="1070"/>
      <c r="P3055" s="1071"/>
      <c r="Q3055" s="1058"/>
      <c r="R3055" s="1063"/>
    </row>
    <row r="3056" spans="1:18" s="90" customFormat="1">
      <c r="A3056" s="1058"/>
      <c r="B3056" s="1064"/>
      <c r="C3056" s="1065"/>
      <c r="D3056" s="1058"/>
      <c r="E3056" s="1058"/>
      <c r="F3056" s="1066"/>
      <c r="G3056" s="1059"/>
      <c r="H3056" s="1067"/>
      <c r="I3056" s="1059"/>
      <c r="J3056" s="1068"/>
      <c r="K3056" s="1064"/>
      <c r="L3056" s="1069"/>
      <c r="M3056" s="1069"/>
      <c r="N3056" s="1069"/>
      <c r="O3056" s="1070"/>
      <c r="P3056" s="1071"/>
      <c r="Q3056" s="1058"/>
      <c r="R3056" s="1063"/>
    </row>
    <row r="3057" spans="1:18" s="90" customFormat="1">
      <c r="A3057" s="1058"/>
      <c r="B3057" s="1064"/>
      <c r="C3057" s="1065"/>
      <c r="D3057" s="1058"/>
      <c r="E3057" s="1058"/>
      <c r="F3057" s="1066"/>
      <c r="G3057" s="1059"/>
      <c r="H3057" s="1067"/>
      <c r="I3057" s="1059"/>
      <c r="J3057" s="1068"/>
      <c r="K3057" s="1064"/>
      <c r="L3057" s="1069"/>
      <c r="M3057" s="1069"/>
      <c r="N3057" s="1069"/>
      <c r="O3057" s="1070"/>
      <c r="P3057" s="1071"/>
      <c r="Q3057" s="1058"/>
      <c r="R3057" s="1063"/>
    </row>
    <row r="3058" spans="1:18" s="90" customFormat="1">
      <c r="A3058" s="1058"/>
      <c r="B3058" s="1064"/>
      <c r="C3058" s="1065"/>
      <c r="D3058" s="1058"/>
      <c r="E3058" s="1058"/>
      <c r="F3058" s="1066"/>
      <c r="G3058" s="1059"/>
      <c r="H3058" s="1067"/>
      <c r="I3058" s="1059"/>
      <c r="J3058" s="1068"/>
      <c r="K3058" s="1064"/>
      <c r="L3058" s="1069"/>
      <c r="M3058" s="1069"/>
      <c r="N3058" s="1069"/>
      <c r="O3058" s="1070"/>
      <c r="P3058" s="1071"/>
      <c r="Q3058" s="1058"/>
      <c r="R3058" s="1063"/>
    </row>
    <row r="3059" spans="1:18" s="90" customFormat="1">
      <c r="A3059" s="1058"/>
      <c r="B3059" s="1064"/>
      <c r="C3059" s="1065"/>
      <c r="D3059" s="1058"/>
      <c r="E3059" s="1058"/>
      <c r="F3059" s="1066"/>
      <c r="G3059" s="1059"/>
      <c r="H3059" s="1067"/>
      <c r="I3059" s="1059"/>
      <c r="J3059" s="1068"/>
      <c r="K3059" s="1064"/>
      <c r="L3059" s="1069"/>
      <c r="M3059" s="1069"/>
      <c r="N3059" s="1069"/>
      <c r="O3059" s="1070"/>
      <c r="P3059" s="1071"/>
      <c r="Q3059" s="1058"/>
      <c r="R3059" s="1063"/>
    </row>
    <row r="3060" spans="1:18" s="90" customFormat="1">
      <c r="A3060" s="1058"/>
      <c r="B3060" s="1064"/>
      <c r="C3060" s="1065"/>
      <c r="D3060" s="1058"/>
      <c r="E3060" s="1058"/>
      <c r="F3060" s="1066"/>
      <c r="G3060" s="1059"/>
      <c r="H3060" s="1067"/>
      <c r="I3060" s="1059"/>
      <c r="J3060" s="1068"/>
      <c r="K3060" s="1064"/>
      <c r="L3060" s="1069"/>
      <c r="M3060" s="1069"/>
      <c r="N3060" s="1069"/>
      <c r="O3060" s="1070"/>
      <c r="P3060" s="1071"/>
      <c r="Q3060" s="1058"/>
      <c r="R3060" s="1063"/>
    </row>
    <row r="3061" spans="1:18" s="90" customFormat="1">
      <c r="A3061" s="1058"/>
      <c r="B3061" s="1064"/>
      <c r="C3061" s="1065"/>
      <c r="D3061" s="1058"/>
      <c r="E3061" s="1058"/>
      <c r="F3061" s="1066"/>
      <c r="G3061" s="1059"/>
      <c r="H3061" s="1067"/>
      <c r="I3061" s="1059"/>
      <c r="J3061" s="1068"/>
      <c r="K3061" s="1064"/>
      <c r="L3061" s="1069"/>
      <c r="M3061" s="1069"/>
      <c r="N3061" s="1069"/>
      <c r="O3061" s="1070"/>
      <c r="P3061" s="1071"/>
      <c r="Q3061" s="1058"/>
      <c r="R3061" s="1063"/>
    </row>
    <row r="3062" spans="1:18" s="90" customFormat="1">
      <c r="A3062" s="1058"/>
      <c r="B3062" s="1064"/>
      <c r="C3062" s="1065"/>
      <c r="D3062" s="1058"/>
      <c r="E3062" s="1058"/>
      <c r="F3062" s="1066"/>
      <c r="G3062" s="1059"/>
      <c r="H3062" s="1067"/>
      <c r="I3062" s="1059"/>
      <c r="J3062" s="1068"/>
      <c r="K3062" s="1064"/>
      <c r="L3062" s="1069"/>
      <c r="M3062" s="1069"/>
      <c r="N3062" s="1069"/>
      <c r="O3062" s="1070"/>
      <c r="P3062" s="1071"/>
      <c r="Q3062" s="1058"/>
      <c r="R3062" s="1063"/>
    </row>
    <row r="3063" spans="1:18" s="90" customFormat="1">
      <c r="A3063" s="1058"/>
      <c r="B3063" s="1064"/>
      <c r="C3063" s="1065"/>
      <c r="D3063" s="1058"/>
      <c r="E3063" s="1058"/>
      <c r="F3063" s="1066"/>
      <c r="G3063" s="1059"/>
      <c r="H3063" s="1067"/>
      <c r="I3063" s="1059"/>
      <c r="J3063" s="1068"/>
      <c r="K3063" s="1064"/>
      <c r="L3063" s="1069"/>
      <c r="M3063" s="1069"/>
      <c r="N3063" s="1069"/>
      <c r="O3063" s="1070"/>
      <c r="P3063" s="1071"/>
      <c r="Q3063" s="1058"/>
      <c r="R3063" s="1063"/>
    </row>
    <row r="3064" spans="1:18" s="90" customFormat="1">
      <c r="A3064" s="1058"/>
      <c r="B3064" s="1064"/>
      <c r="C3064" s="1065"/>
      <c r="D3064" s="1058"/>
      <c r="E3064" s="1058"/>
      <c r="F3064" s="1066"/>
      <c r="G3064" s="1059"/>
      <c r="H3064" s="1067"/>
      <c r="I3064" s="1059"/>
      <c r="J3064" s="1068"/>
      <c r="K3064" s="1064"/>
      <c r="L3064" s="1069"/>
      <c r="M3064" s="1069"/>
      <c r="N3064" s="1069"/>
      <c r="O3064" s="1070"/>
      <c r="P3064" s="1071"/>
      <c r="Q3064" s="1058"/>
      <c r="R3064" s="1063"/>
    </row>
    <row r="3065" spans="1:18" s="90" customFormat="1">
      <c r="A3065" s="1058"/>
      <c r="B3065" s="1064"/>
      <c r="C3065" s="1065"/>
      <c r="D3065" s="1058"/>
      <c r="E3065" s="1058"/>
      <c r="F3065" s="1066"/>
      <c r="G3065" s="1059"/>
      <c r="H3065" s="1067"/>
      <c r="I3065" s="1059"/>
      <c r="J3065" s="1068"/>
      <c r="K3065" s="1064"/>
      <c r="L3065" s="1069"/>
      <c r="M3065" s="1069"/>
      <c r="N3065" s="1069"/>
      <c r="O3065" s="1070"/>
      <c r="P3065" s="1071"/>
      <c r="Q3065" s="1058"/>
      <c r="R3065" s="1063"/>
    </row>
    <row r="3066" spans="1:18" s="90" customFormat="1">
      <c r="A3066" s="1058"/>
      <c r="B3066" s="1064"/>
      <c r="C3066" s="1065"/>
      <c r="D3066" s="1058"/>
      <c r="E3066" s="1058"/>
      <c r="F3066" s="1066"/>
      <c r="G3066" s="1059"/>
      <c r="H3066" s="1067"/>
      <c r="I3066" s="1059"/>
      <c r="J3066" s="1068"/>
      <c r="K3066" s="1064"/>
      <c r="L3066" s="1069"/>
      <c r="M3066" s="1069"/>
      <c r="N3066" s="1069"/>
      <c r="O3066" s="1070"/>
      <c r="P3066" s="1071"/>
      <c r="Q3066" s="1058"/>
      <c r="R3066" s="1063"/>
    </row>
    <row r="3067" spans="1:18" s="90" customFormat="1">
      <c r="A3067" s="1058"/>
      <c r="B3067" s="1064"/>
      <c r="C3067" s="1065"/>
      <c r="D3067" s="1058"/>
      <c r="E3067" s="1058"/>
      <c r="F3067" s="1066"/>
      <c r="G3067" s="1059"/>
      <c r="H3067" s="1067"/>
      <c r="I3067" s="1059"/>
      <c r="J3067" s="1068"/>
      <c r="K3067" s="1064"/>
      <c r="L3067" s="1069"/>
      <c r="M3067" s="1069"/>
      <c r="N3067" s="1069"/>
      <c r="O3067" s="1070"/>
      <c r="P3067" s="1071"/>
      <c r="Q3067" s="1058"/>
      <c r="R3067" s="1063"/>
    </row>
    <row r="3068" spans="1:18" s="90" customFormat="1">
      <c r="A3068" s="1058"/>
      <c r="B3068" s="1064"/>
      <c r="C3068" s="1065"/>
      <c r="D3068" s="1058"/>
      <c r="E3068" s="1058"/>
      <c r="F3068" s="1066"/>
      <c r="G3068" s="1059"/>
      <c r="H3068" s="1067"/>
      <c r="I3068" s="1059"/>
      <c r="J3068" s="1068"/>
      <c r="K3068" s="1064"/>
      <c r="L3068" s="1069"/>
      <c r="M3068" s="1069"/>
      <c r="N3068" s="1069"/>
      <c r="O3068" s="1070"/>
      <c r="P3068" s="1071"/>
      <c r="Q3068" s="1058"/>
      <c r="R3068" s="1063"/>
    </row>
    <row r="3069" spans="1:18" s="90" customFormat="1">
      <c r="A3069" s="1058"/>
      <c r="B3069" s="1064"/>
      <c r="C3069" s="1065"/>
      <c r="D3069" s="1058"/>
      <c r="E3069" s="1058"/>
      <c r="F3069" s="1066"/>
      <c r="G3069" s="1059"/>
      <c r="H3069" s="1067"/>
      <c r="I3069" s="1059"/>
      <c r="J3069" s="1068"/>
      <c r="K3069" s="1064"/>
      <c r="L3069" s="1069"/>
      <c r="M3069" s="1069"/>
      <c r="N3069" s="1069"/>
      <c r="O3069" s="1070"/>
      <c r="P3069" s="1071"/>
      <c r="Q3069" s="1058"/>
      <c r="R3069" s="1063"/>
    </row>
    <row r="3070" spans="1:18" s="90" customFormat="1">
      <c r="A3070" s="1058"/>
      <c r="B3070" s="1064"/>
      <c r="C3070" s="1065"/>
      <c r="D3070" s="1058"/>
      <c r="E3070" s="1058"/>
      <c r="F3070" s="1066"/>
      <c r="G3070" s="1059"/>
      <c r="H3070" s="1067"/>
      <c r="I3070" s="1059"/>
      <c r="J3070" s="1068"/>
      <c r="K3070" s="1064"/>
      <c r="L3070" s="1069"/>
      <c r="M3070" s="1069"/>
      <c r="N3070" s="1069"/>
      <c r="O3070" s="1070"/>
      <c r="P3070" s="1071"/>
      <c r="Q3070" s="1058"/>
      <c r="R3070" s="1063"/>
    </row>
    <row r="3071" spans="1:18" s="90" customFormat="1">
      <c r="A3071" s="1058"/>
      <c r="B3071" s="1064"/>
      <c r="C3071" s="1065"/>
      <c r="D3071" s="1058"/>
      <c r="E3071" s="1058"/>
      <c r="F3071" s="1066"/>
      <c r="G3071" s="1059"/>
      <c r="H3071" s="1067"/>
      <c r="I3071" s="1059"/>
      <c r="J3071" s="1068"/>
      <c r="K3071" s="1064"/>
      <c r="L3071" s="1069"/>
      <c r="M3071" s="1069"/>
      <c r="N3071" s="1069"/>
      <c r="O3071" s="1070"/>
      <c r="P3071" s="1071"/>
      <c r="Q3071" s="1058"/>
      <c r="R3071" s="1063"/>
    </row>
    <row r="3072" spans="1:18" s="90" customFormat="1">
      <c r="A3072" s="1058"/>
      <c r="B3072" s="1064"/>
      <c r="C3072" s="1065"/>
      <c r="D3072" s="1058"/>
      <c r="E3072" s="1058"/>
      <c r="F3072" s="1066"/>
      <c r="G3072" s="1059"/>
      <c r="H3072" s="1067"/>
      <c r="I3072" s="1059"/>
      <c r="J3072" s="1068"/>
      <c r="K3072" s="1064"/>
      <c r="L3072" s="1069"/>
      <c r="M3072" s="1069"/>
      <c r="N3072" s="1069"/>
      <c r="O3072" s="1070"/>
      <c r="P3072" s="1071"/>
      <c r="Q3072" s="1058"/>
      <c r="R3072" s="1063"/>
    </row>
    <row r="3073" spans="1:18" s="90" customFormat="1">
      <c r="A3073" s="1058"/>
      <c r="B3073" s="1064"/>
      <c r="C3073" s="1065"/>
      <c r="D3073" s="1058"/>
      <c r="E3073" s="1058"/>
      <c r="F3073" s="1066"/>
      <c r="G3073" s="1059"/>
      <c r="H3073" s="1067"/>
      <c r="I3073" s="1059"/>
      <c r="J3073" s="1068"/>
      <c r="K3073" s="1064"/>
      <c r="L3073" s="1069"/>
      <c r="M3073" s="1069"/>
      <c r="N3073" s="1069"/>
      <c r="O3073" s="1070"/>
      <c r="P3073" s="1071"/>
      <c r="Q3073" s="1058"/>
      <c r="R3073" s="1063"/>
    </row>
    <row r="3074" spans="1:18" s="90" customFormat="1">
      <c r="A3074" s="1058"/>
      <c r="B3074" s="1064"/>
      <c r="C3074" s="1065"/>
      <c r="D3074" s="1058"/>
      <c r="E3074" s="1058"/>
      <c r="F3074" s="1066"/>
      <c r="G3074" s="1059"/>
      <c r="H3074" s="1067"/>
      <c r="I3074" s="1059"/>
      <c r="J3074" s="1068"/>
      <c r="K3074" s="1064"/>
      <c r="L3074" s="1069"/>
      <c r="M3074" s="1069"/>
      <c r="N3074" s="1069"/>
      <c r="O3074" s="1070"/>
      <c r="P3074" s="1071"/>
      <c r="Q3074" s="1058"/>
      <c r="R3074" s="1063"/>
    </row>
    <row r="3075" spans="1:18" s="90" customFormat="1">
      <c r="A3075" s="1058"/>
      <c r="B3075" s="1064"/>
      <c r="C3075" s="1065"/>
      <c r="D3075" s="1058"/>
      <c r="E3075" s="1058"/>
      <c r="F3075" s="1066"/>
      <c r="G3075" s="1059"/>
      <c r="H3075" s="1067"/>
      <c r="I3075" s="1059"/>
      <c r="J3075" s="1068"/>
      <c r="K3075" s="1064"/>
      <c r="L3075" s="1069"/>
      <c r="M3075" s="1069"/>
      <c r="N3075" s="1069"/>
      <c r="O3075" s="1070"/>
      <c r="P3075" s="1071"/>
      <c r="Q3075" s="1058"/>
      <c r="R3075" s="1063"/>
    </row>
    <row r="3076" spans="1:18" s="90" customFormat="1">
      <c r="A3076" s="1058"/>
      <c r="B3076" s="1064"/>
      <c r="C3076" s="1065"/>
      <c r="D3076" s="1058"/>
      <c r="E3076" s="1058"/>
      <c r="F3076" s="1066"/>
      <c r="G3076" s="1059"/>
      <c r="H3076" s="1067"/>
      <c r="I3076" s="1059"/>
      <c r="J3076" s="1068"/>
      <c r="K3076" s="1064"/>
      <c r="L3076" s="1069"/>
      <c r="M3076" s="1069"/>
      <c r="N3076" s="1069"/>
      <c r="O3076" s="1070"/>
      <c r="P3076" s="1071"/>
      <c r="Q3076" s="1058"/>
      <c r="R3076" s="1063"/>
    </row>
    <row r="3077" spans="1:18" s="90" customFormat="1">
      <c r="A3077" s="1058"/>
      <c r="B3077" s="1064"/>
      <c r="C3077" s="1065"/>
      <c r="D3077" s="1058"/>
      <c r="E3077" s="1058"/>
      <c r="F3077" s="1066"/>
      <c r="G3077" s="1059"/>
      <c r="H3077" s="1067"/>
      <c r="I3077" s="1059"/>
      <c r="J3077" s="1068"/>
      <c r="K3077" s="1064"/>
      <c r="L3077" s="1069"/>
      <c r="M3077" s="1069"/>
      <c r="N3077" s="1069"/>
      <c r="O3077" s="1070"/>
      <c r="P3077" s="1071"/>
      <c r="Q3077" s="1058"/>
      <c r="R3077" s="1063"/>
    </row>
    <row r="3078" spans="1:18" s="90" customFormat="1">
      <c r="A3078" s="1058"/>
      <c r="B3078" s="1064"/>
      <c r="C3078" s="1065"/>
      <c r="D3078" s="1058"/>
      <c r="E3078" s="1058"/>
      <c r="F3078" s="1066"/>
      <c r="G3078" s="1059"/>
      <c r="H3078" s="1067"/>
      <c r="I3078" s="1059"/>
      <c r="J3078" s="1068"/>
      <c r="K3078" s="1064"/>
      <c r="L3078" s="1069"/>
      <c r="M3078" s="1069"/>
      <c r="N3078" s="1069"/>
      <c r="O3078" s="1070"/>
      <c r="P3078" s="1071"/>
      <c r="Q3078" s="1058"/>
      <c r="R3078" s="1063"/>
    </row>
    <row r="3079" spans="1:18">
      <c r="A3079" s="1058" t="s">
        <v>665</v>
      </c>
      <c r="B3079" s="1064">
        <f ca="1">+K142</f>
        <v>692160</v>
      </c>
      <c r="C3079" s="1065"/>
      <c r="D3079" s="1058"/>
      <c r="E3079" s="1058">
        <f>+E2870+1</f>
        <v>12</v>
      </c>
      <c r="F3079" s="1066">
        <v>0.01</v>
      </c>
      <c r="G3079" s="1059" t="s">
        <v>655</v>
      </c>
      <c r="H3079" s="1067">
        <f>+H2870</f>
        <v>44181</v>
      </c>
      <c r="I3079" s="1059">
        <f>+I2870</f>
        <v>450</v>
      </c>
      <c r="J3079" s="1068">
        <f t="shared" ref="J3079:J3746" si="90">+H3079+I3079</f>
        <v>44631</v>
      </c>
      <c r="K3079" s="1064">
        <f ca="1">+B3079</f>
        <v>692160</v>
      </c>
      <c r="L3079" s="1069">
        <v>3</v>
      </c>
      <c r="M3079" s="1069">
        <f ca="1">+K3079*L3079/100</f>
        <v>20764.8</v>
      </c>
      <c r="N3079" s="1069">
        <f ca="1">+K3079+M3079</f>
        <v>712924.8</v>
      </c>
      <c r="O3079" s="1070">
        <f ca="1">IF(+TODAY()&gt;=J3079,0,1.03)</f>
        <v>1.03</v>
      </c>
      <c r="P3079" s="1071">
        <f ca="1">+O3079</f>
        <v>1.03</v>
      </c>
      <c r="Q3079" s="1058"/>
      <c r="R3079" s="1063"/>
    </row>
    <row r="3080" spans="1:18" s="90" customFormat="1">
      <c r="A3080" s="1058"/>
      <c r="B3080" s="1064"/>
      <c r="C3080" s="1065"/>
      <c r="D3080" s="1058"/>
      <c r="E3080" s="1058"/>
      <c r="F3080" s="1066"/>
      <c r="G3080" s="1059"/>
      <c r="H3080" s="1067"/>
      <c r="I3080" s="1059"/>
      <c r="J3080" s="1068"/>
      <c r="K3080" s="1064"/>
      <c r="L3080" s="1069"/>
      <c r="M3080" s="1069"/>
      <c r="N3080" s="1069"/>
      <c r="O3080" s="1070"/>
      <c r="P3080" s="1071"/>
      <c r="Q3080" s="1058"/>
      <c r="R3080" s="1063"/>
    </row>
    <row r="3081" spans="1:18" s="90" customFormat="1">
      <c r="A3081" s="1058"/>
      <c r="B3081" s="1064"/>
      <c r="C3081" s="1065"/>
      <c r="D3081" s="1058"/>
      <c r="E3081" s="1058"/>
      <c r="F3081" s="1066"/>
      <c r="G3081" s="1059"/>
      <c r="H3081" s="1067"/>
      <c r="I3081" s="1059"/>
      <c r="J3081" s="1068"/>
      <c r="K3081" s="1064"/>
      <c r="L3081" s="1069"/>
      <c r="M3081" s="1069"/>
      <c r="N3081" s="1069"/>
      <c r="O3081" s="1070"/>
      <c r="P3081" s="1071"/>
      <c r="Q3081" s="1058"/>
      <c r="R3081" s="1063"/>
    </row>
    <row r="3082" spans="1:18" s="90" customFormat="1">
      <c r="A3082" s="1058"/>
      <c r="B3082" s="1064"/>
      <c r="C3082" s="1065"/>
      <c r="D3082" s="1058"/>
      <c r="E3082" s="1058"/>
      <c r="F3082" s="1066"/>
      <c r="G3082" s="1059"/>
      <c r="H3082" s="1067"/>
      <c r="I3082" s="1059"/>
      <c r="J3082" s="1068"/>
      <c r="K3082" s="1064"/>
      <c r="L3082" s="1069"/>
      <c r="M3082" s="1069"/>
      <c r="N3082" s="1069"/>
      <c r="O3082" s="1070"/>
      <c r="P3082" s="1071"/>
      <c r="Q3082" s="1058"/>
      <c r="R3082" s="1063"/>
    </row>
    <row r="3083" spans="1:18" s="90" customFormat="1">
      <c r="A3083" s="1058"/>
      <c r="B3083" s="1064"/>
      <c r="C3083" s="1065"/>
      <c r="D3083" s="1058"/>
      <c r="E3083" s="1058"/>
      <c r="F3083" s="1066"/>
      <c r="G3083" s="1059"/>
      <c r="H3083" s="1067"/>
      <c r="I3083" s="1059"/>
      <c r="J3083" s="1068"/>
      <c r="K3083" s="1064"/>
      <c r="L3083" s="1069"/>
      <c r="M3083" s="1069"/>
      <c r="N3083" s="1069"/>
      <c r="O3083" s="1070"/>
      <c r="P3083" s="1071"/>
      <c r="Q3083" s="1058"/>
      <c r="R3083" s="1063"/>
    </row>
    <row r="3084" spans="1:18" s="90" customFormat="1">
      <c r="A3084" s="1058"/>
      <c r="B3084" s="1064"/>
      <c r="C3084" s="1065"/>
      <c r="D3084" s="1058"/>
      <c r="E3084" s="1058"/>
      <c r="F3084" s="1066"/>
      <c r="G3084" s="1059"/>
      <c r="H3084" s="1067"/>
      <c r="I3084" s="1059"/>
      <c r="J3084" s="1068"/>
      <c r="K3084" s="1064"/>
      <c r="L3084" s="1069"/>
      <c r="M3084" s="1069"/>
      <c r="N3084" s="1069"/>
      <c r="O3084" s="1070"/>
      <c r="P3084" s="1071"/>
      <c r="Q3084" s="1058"/>
      <c r="R3084" s="1063"/>
    </row>
    <row r="3085" spans="1:18" s="90" customFormat="1">
      <c r="A3085" s="1058"/>
      <c r="B3085" s="1064"/>
      <c r="C3085" s="1065"/>
      <c r="D3085" s="1058"/>
      <c r="E3085" s="1058"/>
      <c r="F3085" s="1066"/>
      <c r="G3085" s="1059"/>
      <c r="H3085" s="1067"/>
      <c r="I3085" s="1059"/>
      <c r="J3085" s="1068"/>
      <c r="K3085" s="1064"/>
      <c r="L3085" s="1069"/>
      <c r="M3085" s="1069"/>
      <c r="N3085" s="1069"/>
      <c r="O3085" s="1070"/>
      <c r="P3085" s="1071"/>
      <c r="Q3085" s="1058"/>
      <c r="R3085" s="1063"/>
    </row>
    <row r="3086" spans="1:18" s="90" customFormat="1">
      <c r="A3086" s="1058"/>
      <c r="B3086" s="1064"/>
      <c r="C3086" s="1065"/>
      <c r="D3086" s="1058"/>
      <c r="E3086" s="1058"/>
      <c r="F3086" s="1066"/>
      <c r="G3086" s="1059"/>
      <c r="H3086" s="1067"/>
      <c r="I3086" s="1059"/>
      <c r="J3086" s="1068"/>
      <c r="K3086" s="1064"/>
      <c r="L3086" s="1069"/>
      <c r="M3086" s="1069"/>
      <c r="N3086" s="1069"/>
      <c r="O3086" s="1070"/>
      <c r="P3086" s="1071"/>
      <c r="Q3086" s="1058"/>
      <c r="R3086" s="1063"/>
    </row>
    <row r="3087" spans="1:18" s="90" customFormat="1">
      <c r="A3087" s="1058"/>
      <c r="B3087" s="1064"/>
      <c r="C3087" s="1065"/>
      <c r="D3087" s="1058"/>
      <c r="E3087" s="1058"/>
      <c r="F3087" s="1066"/>
      <c r="G3087" s="1059"/>
      <c r="H3087" s="1067"/>
      <c r="I3087" s="1059"/>
      <c r="J3087" s="1068"/>
      <c r="K3087" s="1064"/>
      <c r="L3087" s="1069"/>
      <c r="M3087" s="1069"/>
      <c r="N3087" s="1069"/>
      <c r="O3087" s="1070"/>
      <c r="P3087" s="1071"/>
      <c r="Q3087" s="1058"/>
      <c r="R3087" s="1063"/>
    </row>
    <row r="3088" spans="1:18" s="90" customFormat="1">
      <c r="A3088" s="1058"/>
      <c r="B3088" s="1064"/>
      <c r="C3088" s="1065"/>
      <c r="D3088" s="1058"/>
      <c r="E3088" s="1058"/>
      <c r="F3088" s="1066"/>
      <c r="G3088" s="1059"/>
      <c r="H3088" s="1067"/>
      <c r="I3088" s="1059"/>
      <c r="J3088" s="1068"/>
      <c r="K3088" s="1064"/>
      <c r="L3088" s="1069"/>
      <c r="M3088" s="1069"/>
      <c r="N3088" s="1069"/>
      <c r="O3088" s="1070"/>
      <c r="P3088" s="1071"/>
      <c r="Q3088" s="1058"/>
      <c r="R3088" s="1063"/>
    </row>
    <row r="3089" spans="1:18" s="90" customFormat="1">
      <c r="A3089" s="1058"/>
      <c r="B3089" s="1064"/>
      <c r="C3089" s="1065"/>
      <c r="D3089" s="1058"/>
      <c r="E3089" s="1058"/>
      <c r="F3089" s="1066"/>
      <c r="G3089" s="1059"/>
      <c r="H3089" s="1067"/>
      <c r="I3089" s="1059"/>
      <c r="J3089" s="1068"/>
      <c r="K3089" s="1064"/>
      <c r="L3089" s="1069"/>
      <c r="M3089" s="1069"/>
      <c r="N3089" s="1069"/>
      <c r="O3089" s="1070"/>
      <c r="P3089" s="1071"/>
      <c r="Q3089" s="1058"/>
      <c r="R3089" s="1063"/>
    </row>
    <row r="3090" spans="1:18" s="90" customFormat="1">
      <c r="A3090" s="1058"/>
      <c r="B3090" s="1064"/>
      <c r="C3090" s="1065"/>
      <c r="D3090" s="1058"/>
      <c r="E3090" s="1058"/>
      <c r="F3090" s="1066"/>
      <c r="G3090" s="1059"/>
      <c r="H3090" s="1067"/>
      <c r="I3090" s="1059"/>
      <c r="J3090" s="1068"/>
      <c r="K3090" s="1064"/>
      <c r="L3090" s="1069"/>
      <c r="M3090" s="1069"/>
      <c r="N3090" s="1069"/>
      <c r="O3090" s="1070"/>
      <c r="P3090" s="1071"/>
      <c r="Q3090" s="1058"/>
      <c r="R3090" s="1063"/>
    </row>
    <row r="3091" spans="1:18" s="90" customFormat="1">
      <c r="A3091" s="1058"/>
      <c r="B3091" s="1064"/>
      <c r="C3091" s="1065"/>
      <c r="D3091" s="1058"/>
      <c r="E3091" s="1058"/>
      <c r="F3091" s="1066"/>
      <c r="G3091" s="1059"/>
      <c r="H3091" s="1067"/>
      <c r="I3091" s="1059"/>
      <c r="J3091" s="1068"/>
      <c r="K3091" s="1064"/>
      <c r="L3091" s="1069"/>
      <c r="M3091" s="1069"/>
      <c r="N3091" s="1069"/>
      <c r="O3091" s="1070"/>
      <c r="P3091" s="1071"/>
      <c r="Q3091" s="1058"/>
      <c r="R3091" s="1063"/>
    </row>
    <row r="3092" spans="1:18" s="90" customFormat="1">
      <c r="A3092" s="1058"/>
      <c r="B3092" s="1064"/>
      <c r="C3092" s="1065"/>
      <c r="D3092" s="1058"/>
      <c r="E3092" s="1058"/>
      <c r="F3092" s="1066"/>
      <c r="G3092" s="1059"/>
      <c r="H3092" s="1067"/>
      <c r="I3092" s="1059"/>
      <c r="J3092" s="1068"/>
      <c r="K3092" s="1064"/>
      <c r="L3092" s="1069"/>
      <c r="M3092" s="1069"/>
      <c r="N3092" s="1069"/>
      <c r="O3092" s="1070"/>
      <c r="P3092" s="1071"/>
      <c r="Q3092" s="1058"/>
      <c r="R3092" s="1063"/>
    </row>
    <row r="3093" spans="1:18" s="90" customFormat="1">
      <c r="A3093" s="1058"/>
      <c r="B3093" s="1064"/>
      <c r="C3093" s="1065"/>
      <c r="D3093" s="1058"/>
      <c r="E3093" s="1058"/>
      <c r="F3093" s="1066"/>
      <c r="G3093" s="1059"/>
      <c r="H3093" s="1067"/>
      <c r="I3093" s="1059"/>
      <c r="J3093" s="1068"/>
      <c r="K3093" s="1064"/>
      <c r="L3093" s="1069"/>
      <c r="M3093" s="1069"/>
      <c r="N3093" s="1069"/>
      <c r="O3093" s="1070"/>
      <c r="P3093" s="1071"/>
      <c r="Q3093" s="1058"/>
      <c r="R3093" s="1063"/>
    </row>
    <row r="3094" spans="1:18" s="90" customFormat="1">
      <c r="A3094" s="1058"/>
      <c r="B3094" s="1064"/>
      <c r="C3094" s="1065"/>
      <c r="D3094" s="1058"/>
      <c r="E3094" s="1058"/>
      <c r="F3094" s="1066"/>
      <c r="G3094" s="1059"/>
      <c r="H3094" s="1067"/>
      <c r="I3094" s="1059"/>
      <c r="J3094" s="1068"/>
      <c r="K3094" s="1064"/>
      <c r="L3094" s="1069"/>
      <c r="M3094" s="1069"/>
      <c r="N3094" s="1069"/>
      <c r="O3094" s="1070"/>
      <c r="P3094" s="1071"/>
      <c r="Q3094" s="1058"/>
      <c r="R3094" s="1063"/>
    </row>
    <row r="3095" spans="1:18" s="90" customFormat="1">
      <c r="A3095" s="1058"/>
      <c r="B3095" s="1064"/>
      <c r="C3095" s="1065"/>
      <c r="D3095" s="1058"/>
      <c r="E3095" s="1058"/>
      <c r="F3095" s="1066"/>
      <c r="G3095" s="1059"/>
      <c r="H3095" s="1067"/>
      <c r="I3095" s="1059"/>
      <c r="J3095" s="1068"/>
      <c r="K3095" s="1064"/>
      <c r="L3095" s="1069"/>
      <c r="M3095" s="1069"/>
      <c r="N3095" s="1069"/>
      <c r="O3095" s="1070"/>
      <c r="P3095" s="1071"/>
      <c r="Q3095" s="1058"/>
      <c r="R3095" s="1063"/>
    </row>
    <row r="3096" spans="1:18" s="90" customFormat="1">
      <c r="A3096" s="1058"/>
      <c r="B3096" s="1064"/>
      <c r="C3096" s="1065"/>
      <c r="D3096" s="1058"/>
      <c r="E3096" s="1058"/>
      <c r="F3096" s="1066"/>
      <c r="G3096" s="1059"/>
      <c r="H3096" s="1067"/>
      <c r="I3096" s="1059"/>
      <c r="J3096" s="1068"/>
      <c r="K3096" s="1064"/>
      <c r="L3096" s="1069"/>
      <c r="M3096" s="1069"/>
      <c r="N3096" s="1069"/>
      <c r="O3096" s="1070"/>
      <c r="P3096" s="1071"/>
      <c r="Q3096" s="1058"/>
      <c r="R3096" s="1063"/>
    </row>
    <row r="3097" spans="1:18" s="90" customFormat="1">
      <c r="A3097" s="1058"/>
      <c r="B3097" s="1064"/>
      <c r="C3097" s="1065"/>
      <c r="D3097" s="1058"/>
      <c r="E3097" s="1058"/>
      <c r="F3097" s="1066"/>
      <c r="G3097" s="1059"/>
      <c r="H3097" s="1067"/>
      <c r="I3097" s="1059"/>
      <c r="J3097" s="1068"/>
      <c r="K3097" s="1064"/>
      <c r="L3097" s="1069"/>
      <c r="M3097" s="1069"/>
      <c r="N3097" s="1069"/>
      <c r="O3097" s="1070"/>
      <c r="P3097" s="1071"/>
      <c r="Q3097" s="1058"/>
      <c r="R3097" s="1063"/>
    </row>
    <row r="3098" spans="1:18" s="90" customFormat="1">
      <c r="A3098" s="1058"/>
      <c r="B3098" s="1064"/>
      <c r="C3098" s="1065"/>
      <c r="D3098" s="1058"/>
      <c r="E3098" s="1058"/>
      <c r="F3098" s="1066"/>
      <c r="G3098" s="1059"/>
      <c r="H3098" s="1067"/>
      <c r="I3098" s="1059"/>
      <c r="J3098" s="1068"/>
      <c r="K3098" s="1064"/>
      <c r="L3098" s="1069"/>
      <c r="M3098" s="1069"/>
      <c r="N3098" s="1069"/>
      <c r="O3098" s="1070"/>
      <c r="P3098" s="1071"/>
      <c r="Q3098" s="1058"/>
      <c r="R3098" s="1063"/>
    </row>
    <row r="3099" spans="1:18" s="90" customFormat="1">
      <c r="A3099" s="1058"/>
      <c r="B3099" s="1064"/>
      <c r="C3099" s="1065"/>
      <c r="D3099" s="1058"/>
      <c r="E3099" s="1058"/>
      <c r="F3099" s="1066"/>
      <c r="G3099" s="1059"/>
      <c r="H3099" s="1067"/>
      <c r="I3099" s="1059"/>
      <c r="J3099" s="1068"/>
      <c r="K3099" s="1064"/>
      <c r="L3099" s="1069"/>
      <c r="M3099" s="1069"/>
      <c r="N3099" s="1069"/>
      <c r="O3099" s="1070"/>
      <c r="P3099" s="1071"/>
      <c r="Q3099" s="1058"/>
      <c r="R3099" s="1063"/>
    </row>
    <row r="3100" spans="1:18" s="90" customFormat="1">
      <c r="A3100" s="1058"/>
      <c r="B3100" s="1064"/>
      <c r="C3100" s="1065"/>
      <c r="D3100" s="1058"/>
      <c r="E3100" s="1058"/>
      <c r="F3100" s="1066"/>
      <c r="G3100" s="1059"/>
      <c r="H3100" s="1067"/>
      <c r="I3100" s="1059"/>
      <c r="J3100" s="1068"/>
      <c r="K3100" s="1064"/>
      <c r="L3100" s="1069"/>
      <c r="M3100" s="1069"/>
      <c r="N3100" s="1069"/>
      <c r="O3100" s="1070"/>
      <c r="P3100" s="1071"/>
      <c r="Q3100" s="1058"/>
      <c r="R3100" s="1063"/>
    </row>
    <row r="3101" spans="1:18" s="90" customFormat="1">
      <c r="A3101" s="1058"/>
      <c r="B3101" s="1064"/>
      <c r="C3101" s="1065"/>
      <c r="D3101" s="1058"/>
      <c r="E3101" s="1058"/>
      <c r="F3101" s="1066"/>
      <c r="G3101" s="1059"/>
      <c r="H3101" s="1067"/>
      <c r="I3101" s="1059"/>
      <c r="J3101" s="1068"/>
      <c r="K3101" s="1064"/>
      <c r="L3101" s="1069"/>
      <c r="M3101" s="1069"/>
      <c r="N3101" s="1069"/>
      <c r="O3101" s="1070"/>
      <c r="P3101" s="1071"/>
      <c r="Q3101" s="1058"/>
      <c r="R3101" s="1063"/>
    </row>
    <row r="3102" spans="1:18" s="90" customFormat="1">
      <c r="A3102" s="1058"/>
      <c r="B3102" s="1064"/>
      <c r="C3102" s="1065"/>
      <c r="D3102" s="1058"/>
      <c r="E3102" s="1058"/>
      <c r="F3102" s="1066"/>
      <c r="G3102" s="1059"/>
      <c r="H3102" s="1067"/>
      <c r="I3102" s="1059"/>
      <c r="J3102" s="1068"/>
      <c r="K3102" s="1064"/>
      <c r="L3102" s="1069"/>
      <c r="M3102" s="1069"/>
      <c r="N3102" s="1069"/>
      <c r="O3102" s="1070"/>
      <c r="P3102" s="1071"/>
      <c r="Q3102" s="1058"/>
      <c r="R3102" s="1063"/>
    </row>
    <row r="3103" spans="1:18" s="90" customFormat="1">
      <c r="A3103" s="1058"/>
      <c r="B3103" s="1064"/>
      <c r="C3103" s="1065"/>
      <c r="D3103" s="1058"/>
      <c r="E3103" s="1058"/>
      <c r="F3103" s="1066"/>
      <c r="G3103" s="1059"/>
      <c r="H3103" s="1067"/>
      <c r="I3103" s="1059"/>
      <c r="J3103" s="1068"/>
      <c r="K3103" s="1064"/>
      <c r="L3103" s="1069"/>
      <c r="M3103" s="1069"/>
      <c r="N3103" s="1069"/>
      <c r="O3103" s="1070"/>
      <c r="P3103" s="1071"/>
      <c r="Q3103" s="1058"/>
      <c r="R3103" s="1063"/>
    </row>
    <row r="3104" spans="1:18" s="90" customFormat="1">
      <c r="A3104" s="1058"/>
      <c r="B3104" s="1064"/>
      <c r="C3104" s="1065"/>
      <c r="D3104" s="1058"/>
      <c r="E3104" s="1058"/>
      <c r="F3104" s="1066"/>
      <c r="G3104" s="1059"/>
      <c r="H3104" s="1067"/>
      <c r="I3104" s="1059"/>
      <c r="J3104" s="1068"/>
      <c r="K3104" s="1064"/>
      <c r="L3104" s="1069"/>
      <c r="M3104" s="1069"/>
      <c r="N3104" s="1069"/>
      <c r="O3104" s="1070"/>
      <c r="P3104" s="1071"/>
      <c r="Q3104" s="1058"/>
      <c r="R3104" s="1063"/>
    </row>
    <row r="3105" spans="1:18" s="90" customFormat="1">
      <c r="A3105" s="1058"/>
      <c r="B3105" s="1064"/>
      <c r="C3105" s="1065"/>
      <c r="D3105" s="1058"/>
      <c r="E3105" s="1058"/>
      <c r="F3105" s="1066"/>
      <c r="G3105" s="1059"/>
      <c r="H3105" s="1067"/>
      <c r="I3105" s="1059"/>
      <c r="J3105" s="1068"/>
      <c r="K3105" s="1064"/>
      <c r="L3105" s="1069"/>
      <c r="M3105" s="1069"/>
      <c r="N3105" s="1069"/>
      <c r="O3105" s="1070"/>
      <c r="P3105" s="1071"/>
      <c r="Q3105" s="1058"/>
      <c r="R3105" s="1063"/>
    </row>
    <row r="3106" spans="1:18" s="90" customFormat="1">
      <c r="A3106" s="1058"/>
      <c r="B3106" s="1064"/>
      <c r="C3106" s="1065"/>
      <c r="D3106" s="1058"/>
      <c r="E3106" s="1058"/>
      <c r="F3106" s="1066"/>
      <c r="G3106" s="1059"/>
      <c r="H3106" s="1067"/>
      <c r="I3106" s="1059"/>
      <c r="J3106" s="1068"/>
      <c r="K3106" s="1064"/>
      <c r="L3106" s="1069"/>
      <c r="M3106" s="1069"/>
      <c r="N3106" s="1069"/>
      <c r="O3106" s="1070"/>
      <c r="P3106" s="1071"/>
      <c r="Q3106" s="1058"/>
      <c r="R3106" s="1063"/>
    </row>
    <row r="3107" spans="1:18" s="90" customFormat="1">
      <c r="A3107" s="1058"/>
      <c r="B3107" s="1064"/>
      <c r="C3107" s="1065"/>
      <c r="D3107" s="1058"/>
      <c r="E3107" s="1058"/>
      <c r="F3107" s="1066"/>
      <c r="G3107" s="1059"/>
      <c r="H3107" s="1067"/>
      <c r="I3107" s="1059"/>
      <c r="J3107" s="1068"/>
      <c r="K3107" s="1064"/>
      <c r="L3107" s="1069"/>
      <c r="M3107" s="1069"/>
      <c r="N3107" s="1069"/>
      <c r="O3107" s="1070"/>
      <c r="P3107" s="1071"/>
      <c r="Q3107" s="1058"/>
      <c r="R3107" s="1063"/>
    </row>
    <row r="3108" spans="1:18" s="90" customFormat="1">
      <c r="A3108" s="1058"/>
      <c r="B3108" s="1064"/>
      <c r="C3108" s="1065"/>
      <c r="D3108" s="1058"/>
      <c r="E3108" s="1058"/>
      <c r="F3108" s="1066"/>
      <c r="G3108" s="1059"/>
      <c r="H3108" s="1067"/>
      <c r="I3108" s="1059"/>
      <c r="J3108" s="1068"/>
      <c r="K3108" s="1064"/>
      <c r="L3108" s="1069"/>
      <c r="M3108" s="1069"/>
      <c r="N3108" s="1069"/>
      <c r="O3108" s="1070"/>
      <c r="P3108" s="1071"/>
      <c r="Q3108" s="1058"/>
      <c r="R3108" s="1063"/>
    </row>
    <row r="3109" spans="1:18" s="90" customFormat="1">
      <c r="A3109" s="1058"/>
      <c r="B3109" s="1064"/>
      <c r="C3109" s="1065"/>
      <c r="D3109" s="1058"/>
      <c r="E3109" s="1058"/>
      <c r="F3109" s="1066"/>
      <c r="G3109" s="1059"/>
      <c r="H3109" s="1067"/>
      <c r="I3109" s="1059"/>
      <c r="J3109" s="1068"/>
      <c r="K3109" s="1064"/>
      <c r="L3109" s="1069"/>
      <c r="M3109" s="1069"/>
      <c r="N3109" s="1069"/>
      <c r="O3109" s="1070"/>
      <c r="P3109" s="1071"/>
      <c r="Q3109" s="1058"/>
      <c r="R3109" s="1063"/>
    </row>
    <row r="3110" spans="1:18" s="90" customFormat="1">
      <c r="A3110" s="1058"/>
      <c r="B3110" s="1064"/>
      <c r="C3110" s="1065"/>
      <c r="D3110" s="1058"/>
      <c r="E3110" s="1058"/>
      <c r="F3110" s="1066"/>
      <c r="G3110" s="1059"/>
      <c r="H3110" s="1067"/>
      <c r="I3110" s="1059"/>
      <c r="J3110" s="1068"/>
      <c r="K3110" s="1064"/>
      <c r="L3110" s="1069"/>
      <c r="M3110" s="1069"/>
      <c r="N3110" s="1069"/>
      <c r="O3110" s="1070"/>
      <c r="P3110" s="1071"/>
      <c r="Q3110" s="1058"/>
      <c r="R3110" s="1063"/>
    </row>
    <row r="3111" spans="1:18" s="90" customFormat="1">
      <c r="A3111" s="1058"/>
      <c r="B3111" s="1064"/>
      <c r="C3111" s="1065"/>
      <c r="D3111" s="1058"/>
      <c r="E3111" s="1058"/>
      <c r="F3111" s="1066"/>
      <c r="G3111" s="1059"/>
      <c r="H3111" s="1067"/>
      <c r="I3111" s="1059"/>
      <c r="J3111" s="1068"/>
      <c r="K3111" s="1064"/>
      <c r="L3111" s="1069"/>
      <c r="M3111" s="1069"/>
      <c r="N3111" s="1069"/>
      <c r="O3111" s="1070"/>
      <c r="P3111" s="1071"/>
      <c r="Q3111" s="1058"/>
      <c r="R3111" s="1063"/>
    </row>
    <row r="3112" spans="1:18" s="90" customFormat="1">
      <c r="A3112" s="1058"/>
      <c r="B3112" s="1064"/>
      <c r="C3112" s="1065"/>
      <c r="D3112" s="1058"/>
      <c r="E3112" s="1058"/>
      <c r="F3112" s="1066"/>
      <c r="G3112" s="1059"/>
      <c r="H3112" s="1067"/>
      <c r="I3112" s="1059"/>
      <c r="J3112" s="1068"/>
      <c r="K3112" s="1064"/>
      <c r="L3112" s="1069"/>
      <c r="M3112" s="1069"/>
      <c r="N3112" s="1069"/>
      <c r="O3112" s="1070"/>
      <c r="P3112" s="1071"/>
      <c r="Q3112" s="1058"/>
      <c r="R3112" s="1063"/>
    </row>
    <row r="3113" spans="1:18" s="90" customFormat="1">
      <c r="A3113" s="1058"/>
      <c r="B3113" s="1064"/>
      <c r="C3113" s="1065"/>
      <c r="D3113" s="1058"/>
      <c r="E3113" s="1058"/>
      <c r="F3113" s="1066"/>
      <c r="G3113" s="1059"/>
      <c r="H3113" s="1067"/>
      <c r="I3113" s="1059"/>
      <c r="J3113" s="1068"/>
      <c r="K3113" s="1064"/>
      <c r="L3113" s="1069"/>
      <c r="M3113" s="1069"/>
      <c r="N3113" s="1069"/>
      <c r="O3113" s="1070"/>
      <c r="P3113" s="1071"/>
      <c r="Q3113" s="1058"/>
      <c r="R3113" s="1063"/>
    </row>
    <row r="3114" spans="1:18" s="90" customFormat="1">
      <c r="A3114" s="1058"/>
      <c r="B3114" s="1064"/>
      <c r="C3114" s="1065"/>
      <c r="D3114" s="1058"/>
      <c r="E3114" s="1058"/>
      <c r="F3114" s="1066"/>
      <c r="G3114" s="1059"/>
      <c r="H3114" s="1067"/>
      <c r="I3114" s="1059"/>
      <c r="J3114" s="1068"/>
      <c r="K3114" s="1064"/>
      <c r="L3114" s="1069"/>
      <c r="M3114" s="1069"/>
      <c r="N3114" s="1069"/>
      <c r="O3114" s="1070"/>
      <c r="P3114" s="1071"/>
      <c r="Q3114" s="1058"/>
      <c r="R3114" s="1063"/>
    </row>
    <row r="3115" spans="1:18" s="90" customFormat="1">
      <c r="A3115" s="1058"/>
      <c r="B3115" s="1064"/>
      <c r="C3115" s="1065"/>
      <c r="D3115" s="1058"/>
      <c r="E3115" s="1058"/>
      <c r="F3115" s="1066"/>
      <c r="G3115" s="1059"/>
      <c r="H3115" s="1067"/>
      <c r="I3115" s="1059"/>
      <c r="J3115" s="1068"/>
      <c r="K3115" s="1064"/>
      <c r="L3115" s="1069"/>
      <c r="M3115" s="1069"/>
      <c r="N3115" s="1069"/>
      <c r="O3115" s="1070"/>
      <c r="P3115" s="1071"/>
      <c r="Q3115" s="1058"/>
      <c r="R3115" s="1063"/>
    </row>
    <row r="3116" spans="1:18" s="90" customFormat="1">
      <c r="A3116" s="1058"/>
      <c r="B3116" s="1064"/>
      <c r="C3116" s="1065"/>
      <c r="D3116" s="1058"/>
      <c r="E3116" s="1058"/>
      <c r="F3116" s="1066"/>
      <c r="G3116" s="1059"/>
      <c r="H3116" s="1067"/>
      <c r="I3116" s="1059"/>
      <c r="J3116" s="1068"/>
      <c r="K3116" s="1064"/>
      <c r="L3116" s="1069"/>
      <c r="M3116" s="1069"/>
      <c r="N3116" s="1069"/>
      <c r="O3116" s="1070"/>
      <c r="P3116" s="1071"/>
      <c r="Q3116" s="1058"/>
      <c r="R3116" s="1063"/>
    </row>
    <row r="3117" spans="1:18" s="90" customFormat="1">
      <c r="A3117" s="1058"/>
      <c r="B3117" s="1064"/>
      <c r="C3117" s="1065"/>
      <c r="D3117" s="1058"/>
      <c r="E3117" s="1058"/>
      <c r="F3117" s="1066"/>
      <c r="G3117" s="1059"/>
      <c r="H3117" s="1067"/>
      <c r="I3117" s="1059"/>
      <c r="J3117" s="1068"/>
      <c r="K3117" s="1064"/>
      <c r="L3117" s="1069"/>
      <c r="M3117" s="1069"/>
      <c r="N3117" s="1069"/>
      <c r="O3117" s="1070"/>
      <c r="P3117" s="1071"/>
      <c r="Q3117" s="1058"/>
      <c r="R3117" s="1063"/>
    </row>
    <row r="3118" spans="1:18" s="90" customFormat="1">
      <c r="A3118" s="1058"/>
      <c r="B3118" s="1064"/>
      <c r="C3118" s="1065"/>
      <c r="D3118" s="1058"/>
      <c r="E3118" s="1058"/>
      <c r="F3118" s="1066"/>
      <c r="G3118" s="1059"/>
      <c r="H3118" s="1067"/>
      <c r="I3118" s="1059"/>
      <c r="J3118" s="1068"/>
      <c r="K3118" s="1064"/>
      <c r="L3118" s="1069"/>
      <c r="M3118" s="1069"/>
      <c r="N3118" s="1069"/>
      <c r="O3118" s="1070"/>
      <c r="P3118" s="1071"/>
      <c r="Q3118" s="1058"/>
      <c r="R3118" s="1063"/>
    </row>
    <row r="3119" spans="1:18" s="90" customFormat="1">
      <c r="A3119" s="1058"/>
      <c r="B3119" s="1064"/>
      <c r="C3119" s="1065"/>
      <c r="D3119" s="1058"/>
      <c r="E3119" s="1058"/>
      <c r="F3119" s="1066"/>
      <c r="G3119" s="1059"/>
      <c r="H3119" s="1067"/>
      <c r="I3119" s="1059"/>
      <c r="J3119" s="1068"/>
      <c r="K3119" s="1064"/>
      <c r="L3119" s="1069"/>
      <c r="M3119" s="1069"/>
      <c r="N3119" s="1069"/>
      <c r="O3119" s="1070"/>
      <c r="P3119" s="1071"/>
      <c r="Q3119" s="1058"/>
      <c r="R3119" s="1063"/>
    </row>
    <row r="3120" spans="1:18" s="90" customFormat="1">
      <c r="A3120" s="1058"/>
      <c r="B3120" s="1064"/>
      <c r="C3120" s="1065"/>
      <c r="D3120" s="1058"/>
      <c r="E3120" s="1058"/>
      <c r="F3120" s="1066"/>
      <c r="G3120" s="1059"/>
      <c r="H3120" s="1067"/>
      <c r="I3120" s="1059"/>
      <c r="J3120" s="1068"/>
      <c r="K3120" s="1064"/>
      <c r="L3120" s="1069"/>
      <c r="M3120" s="1069"/>
      <c r="N3120" s="1069"/>
      <c r="O3120" s="1070"/>
      <c r="P3120" s="1071"/>
      <c r="Q3120" s="1058"/>
      <c r="R3120" s="1063"/>
    </row>
    <row r="3121" spans="1:18" s="90" customFormat="1">
      <c r="A3121" s="1058"/>
      <c r="B3121" s="1064"/>
      <c r="C3121" s="1065"/>
      <c r="D3121" s="1058"/>
      <c r="E3121" s="1058"/>
      <c r="F3121" s="1066"/>
      <c r="G3121" s="1059"/>
      <c r="H3121" s="1067"/>
      <c r="I3121" s="1059"/>
      <c r="J3121" s="1068"/>
      <c r="K3121" s="1064"/>
      <c r="L3121" s="1069"/>
      <c r="M3121" s="1069"/>
      <c r="N3121" s="1069"/>
      <c r="O3121" s="1070"/>
      <c r="P3121" s="1071"/>
      <c r="Q3121" s="1058"/>
      <c r="R3121" s="1063"/>
    </row>
    <row r="3122" spans="1:18" s="90" customFormat="1">
      <c r="A3122" s="1058"/>
      <c r="B3122" s="1064"/>
      <c r="C3122" s="1065"/>
      <c r="D3122" s="1058"/>
      <c r="E3122" s="1058"/>
      <c r="F3122" s="1066"/>
      <c r="G3122" s="1059"/>
      <c r="H3122" s="1067"/>
      <c r="I3122" s="1059"/>
      <c r="J3122" s="1068"/>
      <c r="K3122" s="1064"/>
      <c r="L3122" s="1069"/>
      <c r="M3122" s="1069"/>
      <c r="N3122" s="1069"/>
      <c r="O3122" s="1070"/>
      <c r="P3122" s="1071"/>
      <c r="Q3122" s="1058"/>
      <c r="R3122" s="1063"/>
    </row>
    <row r="3123" spans="1:18" s="90" customFormat="1">
      <c r="A3123" s="1058"/>
      <c r="B3123" s="1064"/>
      <c r="C3123" s="1065"/>
      <c r="D3123" s="1058"/>
      <c r="E3123" s="1058"/>
      <c r="F3123" s="1066"/>
      <c r="G3123" s="1059"/>
      <c r="H3123" s="1067"/>
      <c r="I3123" s="1059"/>
      <c r="J3123" s="1068"/>
      <c r="K3123" s="1064"/>
      <c r="L3123" s="1069"/>
      <c r="M3123" s="1069"/>
      <c r="N3123" s="1069"/>
      <c r="O3123" s="1070"/>
      <c r="P3123" s="1071"/>
      <c r="Q3123" s="1058"/>
      <c r="R3123" s="1063"/>
    </row>
    <row r="3124" spans="1:18" s="90" customFormat="1">
      <c r="A3124" s="1058"/>
      <c r="B3124" s="1064"/>
      <c r="C3124" s="1065"/>
      <c r="D3124" s="1058"/>
      <c r="E3124" s="1058"/>
      <c r="F3124" s="1066"/>
      <c r="G3124" s="1059"/>
      <c r="H3124" s="1067"/>
      <c r="I3124" s="1059"/>
      <c r="J3124" s="1068"/>
      <c r="K3124" s="1064"/>
      <c r="L3124" s="1069"/>
      <c r="M3124" s="1069"/>
      <c r="N3124" s="1069"/>
      <c r="O3124" s="1070"/>
      <c r="P3124" s="1071"/>
      <c r="Q3124" s="1058"/>
      <c r="R3124" s="1063"/>
    </row>
    <row r="3125" spans="1:18" s="90" customFormat="1">
      <c r="A3125" s="1058"/>
      <c r="B3125" s="1064"/>
      <c r="C3125" s="1065"/>
      <c r="D3125" s="1058"/>
      <c r="E3125" s="1058"/>
      <c r="F3125" s="1066"/>
      <c r="G3125" s="1059"/>
      <c r="H3125" s="1067"/>
      <c r="I3125" s="1059"/>
      <c r="J3125" s="1068"/>
      <c r="K3125" s="1064"/>
      <c r="L3125" s="1069"/>
      <c r="M3125" s="1069"/>
      <c r="N3125" s="1069"/>
      <c r="O3125" s="1070"/>
      <c r="P3125" s="1071"/>
      <c r="Q3125" s="1058"/>
      <c r="R3125" s="1063"/>
    </row>
    <row r="3126" spans="1:18" s="90" customFormat="1">
      <c r="A3126" s="1058"/>
      <c r="B3126" s="1064"/>
      <c r="C3126" s="1065"/>
      <c r="D3126" s="1058"/>
      <c r="E3126" s="1058"/>
      <c r="F3126" s="1066"/>
      <c r="G3126" s="1059"/>
      <c r="H3126" s="1067"/>
      <c r="I3126" s="1059"/>
      <c r="J3126" s="1068"/>
      <c r="K3126" s="1064"/>
      <c r="L3126" s="1069"/>
      <c r="M3126" s="1069"/>
      <c r="N3126" s="1069"/>
      <c r="O3126" s="1070"/>
      <c r="P3126" s="1071"/>
      <c r="Q3126" s="1058"/>
      <c r="R3126" s="1063"/>
    </row>
    <row r="3127" spans="1:18" s="90" customFormat="1">
      <c r="A3127" s="1058"/>
      <c r="B3127" s="1064"/>
      <c r="C3127" s="1065"/>
      <c r="D3127" s="1058"/>
      <c r="E3127" s="1058"/>
      <c r="F3127" s="1066"/>
      <c r="G3127" s="1059"/>
      <c r="H3127" s="1067"/>
      <c r="I3127" s="1059"/>
      <c r="J3127" s="1068"/>
      <c r="K3127" s="1064"/>
      <c r="L3127" s="1069"/>
      <c r="M3127" s="1069"/>
      <c r="N3127" s="1069"/>
      <c r="O3127" s="1070"/>
      <c r="P3127" s="1071"/>
      <c r="Q3127" s="1058"/>
      <c r="R3127" s="1063"/>
    </row>
    <row r="3128" spans="1:18" s="90" customFormat="1">
      <c r="A3128" s="1058"/>
      <c r="B3128" s="1064"/>
      <c r="C3128" s="1065"/>
      <c r="D3128" s="1058"/>
      <c r="E3128" s="1058"/>
      <c r="F3128" s="1066"/>
      <c r="G3128" s="1059"/>
      <c r="H3128" s="1067"/>
      <c r="I3128" s="1059"/>
      <c r="J3128" s="1068"/>
      <c r="K3128" s="1064"/>
      <c r="L3128" s="1069"/>
      <c r="M3128" s="1069"/>
      <c r="N3128" s="1069"/>
      <c r="O3128" s="1070"/>
      <c r="P3128" s="1071"/>
      <c r="Q3128" s="1058"/>
      <c r="R3128" s="1063"/>
    </row>
    <row r="3129" spans="1:18" s="90" customFormat="1">
      <c r="A3129" s="1058"/>
      <c r="B3129" s="1064"/>
      <c r="C3129" s="1065"/>
      <c r="D3129" s="1058"/>
      <c r="E3129" s="1058"/>
      <c r="F3129" s="1066"/>
      <c r="G3129" s="1059"/>
      <c r="H3129" s="1067"/>
      <c r="I3129" s="1059"/>
      <c r="J3129" s="1068"/>
      <c r="K3129" s="1064"/>
      <c r="L3129" s="1069"/>
      <c r="M3129" s="1069"/>
      <c r="N3129" s="1069"/>
      <c r="O3129" s="1070"/>
      <c r="P3129" s="1071"/>
      <c r="Q3129" s="1058"/>
      <c r="R3129" s="1063"/>
    </row>
    <row r="3130" spans="1:18" s="90" customFormat="1">
      <c r="A3130" s="1058"/>
      <c r="B3130" s="1064"/>
      <c r="C3130" s="1065"/>
      <c r="D3130" s="1058"/>
      <c r="E3130" s="1058"/>
      <c r="F3130" s="1066"/>
      <c r="G3130" s="1059"/>
      <c r="H3130" s="1067"/>
      <c r="I3130" s="1059"/>
      <c r="J3130" s="1068"/>
      <c r="K3130" s="1064"/>
      <c r="L3130" s="1069"/>
      <c r="M3130" s="1069"/>
      <c r="N3130" s="1069"/>
      <c r="O3130" s="1070"/>
      <c r="P3130" s="1071"/>
      <c r="Q3130" s="1058"/>
      <c r="R3130" s="1063"/>
    </row>
    <row r="3131" spans="1:18" s="90" customFormat="1">
      <c r="A3131" s="1058"/>
      <c r="B3131" s="1064"/>
      <c r="C3131" s="1065"/>
      <c r="D3131" s="1058"/>
      <c r="E3131" s="1058"/>
      <c r="F3131" s="1066"/>
      <c r="G3131" s="1059"/>
      <c r="H3131" s="1067"/>
      <c r="I3131" s="1059"/>
      <c r="J3131" s="1068"/>
      <c r="K3131" s="1064"/>
      <c r="L3131" s="1069"/>
      <c r="M3131" s="1069"/>
      <c r="N3131" s="1069"/>
      <c r="O3131" s="1070"/>
      <c r="P3131" s="1071"/>
      <c r="Q3131" s="1058"/>
      <c r="R3131" s="1063"/>
    </row>
    <row r="3132" spans="1:18" s="90" customFormat="1">
      <c r="A3132" s="1058"/>
      <c r="B3132" s="1064"/>
      <c r="C3132" s="1065"/>
      <c r="D3132" s="1058"/>
      <c r="E3132" s="1058"/>
      <c r="F3132" s="1066"/>
      <c r="G3132" s="1059"/>
      <c r="H3132" s="1067"/>
      <c r="I3132" s="1059"/>
      <c r="J3132" s="1068"/>
      <c r="K3132" s="1064"/>
      <c r="L3132" s="1069"/>
      <c r="M3132" s="1069"/>
      <c r="N3132" s="1069"/>
      <c r="O3132" s="1070"/>
      <c r="P3132" s="1071"/>
      <c r="Q3132" s="1058"/>
      <c r="R3132" s="1063"/>
    </row>
    <row r="3133" spans="1:18" s="90" customFormat="1">
      <c r="A3133" s="1058"/>
      <c r="B3133" s="1064"/>
      <c r="C3133" s="1065"/>
      <c r="D3133" s="1058"/>
      <c r="E3133" s="1058"/>
      <c r="F3133" s="1066"/>
      <c r="G3133" s="1059"/>
      <c r="H3133" s="1067"/>
      <c r="I3133" s="1059"/>
      <c r="J3133" s="1068"/>
      <c r="K3133" s="1064"/>
      <c r="L3133" s="1069"/>
      <c r="M3133" s="1069"/>
      <c r="N3133" s="1069"/>
      <c r="O3133" s="1070"/>
      <c r="P3133" s="1071"/>
      <c r="Q3133" s="1058"/>
      <c r="R3133" s="1063"/>
    </row>
    <row r="3134" spans="1:18" s="90" customFormat="1">
      <c r="A3134" s="1058"/>
      <c r="B3134" s="1064"/>
      <c r="C3134" s="1065"/>
      <c r="D3134" s="1058"/>
      <c r="E3134" s="1058"/>
      <c r="F3134" s="1066"/>
      <c r="G3134" s="1059"/>
      <c r="H3134" s="1067"/>
      <c r="I3134" s="1059"/>
      <c r="J3134" s="1068"/>
      <c r="K3134" s="1064"/>
      <c r="L3134" s="1069"/>
      <c r="M3134" s="1069"/>
      <c r="N3134" s="1069"/>
      <c r="O3134" s="1070"/>
      <c r="P3134" s="1071"/>
      <c r="Q3134" s="1058"/>
      <c r="R3134" s="1063"/>
    </row>
    <row r="3135" spans="1:18" s="90" customFormat="1">
      <c r="A3135" s="1058"/>
      <c r="B3135" s="1064"/>
      <c r="C3135" s="1065"/>
      <c r="D3135" s="1058"/>
      <c r="E3135" s="1058"/>
      <c r="F3135" s="1066"/>
      <c r="G3135" s="1059"/>
      <c r="H3135" s="1067"/>
      <c r="I3135" s="1059"/>
      <c r="J3135" s="1068"/>
      <c r="K3135" s="1064"/>
      <c r="L3135" s="1069"/>
      <c r="M3135" s="1069"/>
      <c r="N3135" s="1069"/>
      <c r="O3135" s="1070"/>
      <c r="P3135" s="1071"/>
      <c r="Q3135" s="1058"/>
      <c r="R3135" s="1063"/>
    </row>
    <row r="3136" spans="1:18" s="90" customFormat="1">
      <c r="A3136" s="1058"/>
      <c r="B3136" s="1064"/>
      <c r="C3136" s="1065"/>
      <c r="D3136" s="1058"/>
      <c r="E3136" s="1058"/>
      <c r="F3136" s="1066"/>
      <c r="G3136" s="1059"/>
      <c r="H3136" s="1067"/>
      <c r="I3136" s="1059"/>
      <c r="J3136" s="1068"/>
      <c r="K3136" s="1064"/>
      <c r="L3136" s="1069"/>
      <c r="M3136" s="1069"/>
      <c r="N3136" s="1069"/>
      <c r="O3136" s="1070"/>
      <c r="P3136" s="1071"/>
      <c r="Q3136" s="1058"/>
      <c r="R3136" s="1063"/>
    </row>
    <row r="3137" spans="1:18" s="90" customFormat="1">
      <c r="A3137" s="1058"/>
      <c r="B3137" s="1064"/>
      <c r="C3137" s="1065"/>
      <c r="D3137" s="1058"/>
      <c r="E3137" s="1058"/>
      <c r="F3137" s="1066"/>
      <c r="G3137" s="1059"/>
      <c r="H3137" s="1067"/>
      <c r="I3137" s="1059"/>
      <c r="J3137" s="1068"/>
      <c r="K3137" s="1064"/>
      <c r="L3137" s="1069"/>
      <c r="M3137" s="1069"/>
      <c r="N3137" s="1069"/>
      <c r="O3137" s="1070"/>
      <c r="P3137" s="1071"/>
      <c r="Q3137" s="1058"/>
      <c r="R3137" s="1063"/>
    </row>
    <row r="3138" spans="1:18" s="90" customFormat="1">
      <c r="A3138" s="1058"/>
      <c r="B3138" s="1064"/>
      <c r="C3138" s="1065"/>
      <c r="D3138" s="1058"/>
      <c r="E3138" s="1058"/>
      <c r="F3138" s="1066"/>
      <c r="G3138" s="1059"/>
      <c r="H3138" s="1067"/>
      <c r="I3138" s="1059"/>
      <c r="J3138" s="1068"/>
      <c r="K3138" s="1064"/>
      <c r="L3138" s="1069"/>
      <c r="M3138" s="1069"/>
      <c r="N3138" s="1069"/>
      <c r="O3138" s="1070"/>
      <c r="P3138" s="1071"/>
      <c r="Q3138" s="1058"/>
      <c r="R3138" s="1063"/>
    </row>
    <row r="3139" spans="1:18" s="90" customFormat="1">
      <c r="A3139" s="1058"/>
      <c r="B3139" s="1064"/>
      <c r="C3139" s="1065"/>
      <c r="D3139" s="1058"/>
      <c r="E3139" s="1058"/>
      <c r="F3139" s="1066"/>
      <c r="G3139" s="1059"/>
      <c r="H3139" s="1067"/>
      <c r="I3139" s="1059"/>
      <c r="J3139" s="1068"/>
      <c r="K3139" s="1064"/>
      <c r="L3139" s="1069"/>
      <c r="M3139" s="1069"/>
      <c r="N3139" s="1069"/>
      <c r="O3139" s="1070"/>
      <c r="P3139" s="1071"/>
      <c r="Q3139" s="1058"/>
      <c r="R3139" s="1063"/>
    </row>
    <row r="3140" spans="1:18" s="90" customFormat="1">
      <c r="A3140" s="1058"/>
      <c r="B3140" s="1064"/>
      <c r="C3140" s="1065"/>
      <c r="D3140" s="1058"/>
      <c r="E3140" s="1058"/>
      <c r="F3140" s="1066"/>
      <c r="G3140" s="1059"/>
      <c r="H3140" s="1067"/>
      <c r="I3140" s="1059"/>
      <c r="J3140" s="1068"/>
      <c r="K3140" s="1064"/>
      <c r="L3140" s="1069"/>
      <c r="M3140" s="1069"/>
      <c r="N3140" s="1069"/>
      <c r="O3140" s="1070"/>
      <c r="P3140" s="1071"/>
      <c r="Q3140" s="1058"/>
      <c r="R3140" s="1063"/>
    </row>
    <row r="3141" spans="1:18" s="90" customFormat="1">
      <c r="A3141" s="1058"/>
      <c r="B3141" s="1064"/>
      <c r="C3141" s="1065"/>
      <c r="D3141" s="1058"/>
      <c r="E3141" s="1058"/>
      <c r="F3141" s="1066"/>
      <c r="G3141" s="1059"/>
      <c r="H3141" s="1067"/>
      <c r="I3141" s="1059"/>
      <c r="J3141" s="1068"/>
      <c r="K3141" s="1064"/>
      <c r="L3141" s="1069"/>
      <c r="M3141" s="1069"/>
      <c r="N3141" s="1069"/>
      <c r="O3141" s="1070"/>
      <c r="P3141" s="1071"/>
      <c r="Q3141" s="1058"/>
      <c r="R3141" s="1063"/>
    </row>
    <row r="3142" spans="1:18" s="90" customFormat="1">
      <c r="A3142" s="1058"/>
      <c r="B3142" s="1064"/>
      <c r="C3142" s="1065"/>
      <c r="D3142" s="1058"/>
      <c r="E3142" s="1058"/>
      <c r="F3142" s="1066"/>
      <c r="G3142" s="1059"/>
      <c r="H3142" s="1067"/>
      <c r="I3142" s="1059"/>
      <c r="J3142" s="1068"/>
      <c r="K3142" s="1064"/>
      <c r="L3142" s="1069"/>
      <c r="M3142" s="1069"/>
      <c r="N3142" s="1069"/>
      <c r="O3142" s="1070"/>
      <c r="P3142" s="1071"/>
      <c r="Q3142" s="1058"/>
      <c r="R3142" s="1063"/>
    </row>
    <row r="3143" spans="1:18" s="90" customFormat="1">
      <c r="A3143" s="1058"/>
      <c r="B3143" s="1064"/>
      <c r="C3143" s="1065"/>
      <c r="D3143" s="1058"/>
      <c r="E3143" s="1058"/>
      <c r="F3143" s="1066"/>
      <c r="G3143" s="1059"/>
      <c r="H3143" s="1067"/>
      <c r="I3143" s="1059"/>
      <c r="J3143" s="1068"/>
      <c r="K3143" s="1064"/>
      <c r="L3143" s="1069"/>
      <c r="M3143" s="1069"/>
      <c r="N3143" s="1069"/>
      <c r="O3143" s="1070"/>
      <c r="P3143" s="1071"/>
      <c r="Q3143" s="1058"/>
      <c r="R3143" s="1063"/>
    </row>
    <row r="3144" spans="1:18" s="90" customFormat="1">
      <c r="A3144" s="1058"/>
      <c r="B3144" s="1064"/>
      <c r="C3144" s="1065"/>
      <c r="D3144" s="1058"/>
      <c r="E3144" s="1058"/>
      <c r="F3144" s="1066"/>
      <c r="G3144" s="1059"/>
      <c r="H3144" s="1067"/>
      <c r="I3144" s="1059"/>
      <c r="J3144" s="1068"/>
      <c r="K3144" s="1064"/>
      <c r="L3144" s="1069"/>
      <c r="M3144" s="1069"/>
      <c r="N3144" s="1069"/>
      <c r="O3144" s="1070"/>
      <c r="P3144" s="1071"/>
      <c r="Q3144" s="1058"/>
      <c r="R3144" s="1063"/>
    </row>
    <row r="3145" spans="1:18" s="90" customFormat="1">
      <c r="A3145" s="1058"/>
      <c r="B3145" s="1064"/>
      <c r="C3145" s="1065"/>
      <c r="D3145" s="1058"/>
      <c r="E3145" s="1058"/>
      <c r="F3145" s="1066"/>
      <c r="G3145" s="1059"/>
      <c r="H3145" s="1067"/>
      <c r="I3145" s="1059"/>
      <c r="J3145" s="1068"/>
      <c r="K3145" s="1064"/>
      <c r="L3145" s="1069"/>
      <c r="M3145" s="1069"/>
      <c r="N3145" s="1069"/>
      <c r="O3145" s="1070"/>
      <c r="P3145" s="1071"/>
      <c r="Q3145" s="1058"/>
      <c r="R3145" s="1063"/>
    </row>
    <row r="3146" spans="1:18" s="90" customFormat="1">
      <c r="A3146" s="1058"/>
      <c r="B3146" s="1064"/>
      <c r="C3146" s="1065"/>
      <c r="D3146" s="1058"/>
      <c r="E3146" s="1058"/>
      <c r="F3146" s="1066"/>
      <c r="G3146" s="1059"/>
      <c r="H3146" s="1067"/>
      <c r="I3146" s="1059"/>
      <c r="J3146" s="1068"/>
      <c r="K3146" s="1064"/>
      <c r="L3146" s="1069"/>
      <c r="M3146" s="1069"/>
      <c r="N3146" s="1069"/>
      <c r="O3146" s="1070"/>
      <c r="P3146" s="1071"/>
      <c r="Q3146" s="1058"/>
      <c r="R3146" s="1063"/>
    </row>
    <row r="3147" spans="1:18" s="90" customFormat="1">
      <c r="A3147" s="1058"/>
      <c r="B3147" s="1064"/>
      <c r="C3147" s="1065"/>
      <c r="D3147" s="1058"/>
      <c r="E3147" s="1058"/>
      <c r="F3147" s="1066"/>
      <c r="G3147" s="1059"/>
      <c r="H3147" s="1067"/>
      <c r="I3147" s="1059"/>
      <c r="J3147" s="1068"/>
      <c r="K3147" s="1064"/>
      <c r="L3147" s="1069"/>
      <c r="M3147" s="1069"/>
      <c r="N3147" s="1069"/>
      <c r="O3147" s="1070"/>
      <c r="P3147" s="1071"/>
      <c r="Q3147" s="1058"/>
      <c r="R3147" s="1063"/>
    </row>
    <row r="3148" spans="1:18" s="90" customFormat="1">
      <c r="A3148" s="1058"/>
      <c r="B3148" s="1064"/>
      <c r="C3148" s="1065"/>
      <c r="D3148" s="1058"/>
      <c r="E3148" s="1058"/>
      <c r="F3148" s="1066"/>
      <c r="G3148" s="1059"/>
      <c r="H3148" s="1067"/>
      <c r="I3148" s="1059"/>
      <c r="J3148" s="1068"/>
      <c r="K3148" s="1064"/>
      <c r="L3148" s="1069"/>
      <c r="M3148" s="1069"/>
      <c r="N3148" s="1069"/>
      <c r="O3148" s="1070"/>
      <c r="P3148" s="1071"/>
      <c r="Q3148" s="1058"/>
      <c r="R3148" s="1063"/>
    </row>
    <row r="3149" spans="1:18" s="90" customFormat="1">
      <c r="A3149" s="1058"/>
      <c r="B3149" s="1064"/>
      <c r="C3149" s="1065"/>
      <c r="D3149" s="1058"/>
      <c r="E3149" s="1058"/>
      <c r="F3149" s="1066"/>
      <c r="G3149" s="1059"/>
      <c r="H3149" s="1067"/>
      <c r="I3149" s="1059"/>
      <c r="J3149" s="1068"/>
      <c r="K3149" s="1064"/>
      <c r="L3149" s="1069"/>
      <c r="M3149" s="1069"/>
      <c r="N3149" s="1069"/>
      <c r="O3149" s="1070"/>
      <c r="P3149" s="1071"/>
      <c r="Q3149" s="1058"/>
      <c r="R3149" s="1063"/>
    </row>
    <row r="3150" spans="1:18" s="90" customFormat="1">
      <c r="A3150" s="1058"/>
      <c r="B3150" s="1064"/>
      <c r="C3150" s="1065"/>
      <c r="D3150" s="1058"/>
      <c r="E3150" s="1058"/>
      <c r="F3150" s="1066"/>
      <c r="G3150" s="1059"/>
      <c r="H3150" s="1067"/>
      <c r="I3150" s="1059"/>
      <c r="J3150" s="1068"/>
      <c r="K3150" s="1064"/>
      <c r="L3150" s="1069"/>
      <c r="M3150" s="1069"/>
      <c r="N3150" s="1069"/>
      <c r="O3150" s="1070"/>
      <c r="P3150" s="1071"/>
      <c r="Q3150" s="1058"/>
      <c r="R3150" s="1063"/>
    </row>
    <row r="3151" spans="1:18" s="90" customFormat="1">
      <c r="A3151" s="1058"/>
      <c r="B3151" s="1064"/>
      <c r="C3151" s="1065"/>
      <c r="D3151" s="1058"/>
      <c r="E3151" s="1058"/>
      <c r="F3151" s="1066"/>
      <c r="G3151" s="1059"/>
      <c r="H3151" s="1067"/>
      <c r="I3151" s="1059"/>
      <c r="J3151" s="1068"/>
      <c r="K3151" s="1064"/>
      <c r="L3151" s="1069"/>
      <c r="M3151" s="1069"/>
      <c r="N3151" s="1069"/>
      <c r="O3151" s="1070"/>
      <c r="P3151" s="1071"/>
      <c r="Q3151" s="1058"/>
      <c r="R3151" s="1063"/>
    </row>
    <row r="3152" spans="1:18" s="90" customFormat="1">
      <c r="A3152" s="1058"/>
      <c r="B3152" s="1064"/>
      <c r="C3152" s="1065"/>
      <c r="D3152" s="1058"/>
      <c r="E3152" s="1058"/>
      <c r="F3152" s="1066"/>
      <c r="G3152" s="1059"/>
      <c r="H3152" s="1067"/>
      <c r="I3152" s="1059"/>
      <c r="J3152" s="1068"/>
      <c r="K3152" s="1064"/>
      <c r="L3152" s="1069"/>
      <c r="M3152" s="1069"/>
      <c r="N3152" s="1069"/>
      <c r="O3152" s="1070"/>
      <c r="P3152" s="1071"/>
      <c r="Q3152" s="1058"/>
      <c r="R3152" s="1063"/>
    </row>
    <row r="3153" spans="1:18" s="90" customFormat="1">
      <c r="A3153" s="1058"/>
      <c r="B3153" s="1064"/>
      <c r="C3153" s="1065"/>
      <c r="D3153" s="1058"/>
      <c r="E3153" s="1058"/>
      <c r="F3153" s="1066"/>
      <c r="G3153" s="1059"/>
      <c r="H3153" s="1067"/>
      <c r="I3153" s="1059"/>
      <c r="J3153" s="1068"/>
      <c r="K3153" s="1064"/>
      <c r="L3153" s="1069"/>
      <c r="M3153" s="1069"/>
      <c r="N3153" s="1069"/>
      <c r="O3153" s="1070"/>
      <c r="P3153" s="1071"/>
      <c r="Q3153" s="1058"/>
      <c r="R3153" s="1063"/>
    </row>
    <row r="3154" spans="1:18" s="90" customFormat="1">
      <c r="A3154" s="1058"/>
      <c r="B3154" s="1064"/>
      <c r="C3154" s="1065"/>
      <c r="D3154" s="1058"/>
      <c r="E3154" s="1058"/>
      <c r="F3154" s="1066"/>
      <c r="G3154" s="1059"/>
      <c r="H3154" s="1067"/>
      <c r="I3154" s="1059"/>
      <c r="J3154" s="1068"/>
      <c r="K3154" s="1064"/>
      <c r="L3154" s="1069"/>
      <c r="M3154" s="1069"/>
      <c r="N3154" s="1069"/>
      <c r="O3154" s="1070"/>
      <c r="P3154" s="1071"/>
      <c r="Q3154" s="1058"/>
      <c r="R3154" s="1063"/>
    </row>
    <row r="3155" spans="1:18" s="90" customFormat="1">
      <c r="A3155" s="1058"/>
      <c r="B3155" s="1064"/>
      <c r="C3155" s="1065"/>
      <c r="D3155" s="1058"/>
      <c r="E3155" s="1058"/>
      <c r="F3155" s="1066"/>
      <c r="G3155" s="1059"/>
      <c r="H3155" s="1067"/>
      <c r="I3155" s="1059"/>
      <c r="J3155" s="1068"/>
      <c r="K3155" s="1064"/>
      <c r="L3155" s="1069"/>
      <c r="M3155" s="1069"/>
      <c r="N3155" s="1069"/>
      <c r="O3155" s="1070"/>
      <c r="P3155" s="1071"/>
      <c r="Q3155" s="1058"/>
      <c r="R3155" s="1063"/>
    </row>
    <row r="3156" spans="1:18" s="90" customFormat="1">
      <c r="A3156" s="1058"/>
      <c r="B3156" s="1064"/>
      <c r="C3156" s="1065"/>
      <c r="D3156" s="1058"/>
      <c r="E3156" s="1058"/>
      <c r="F3156" s="1066"/>
      <c r="G3156" s="1059"/>
      <c r="H3156" s="1067"/>
      <c r="I3156" s="1059"/>
      <c r="J3156" s="1068"/>
      <c r="K3156" s="1064"/>
      <c r="L3156" s="1069"/>
      <c r="M3156" s="1069"/>
      <c r="N3156" s="1069"/>
      <c r="O3156" s="1070"/>
      <c r="P3156" s="1071"/>
      <c r="Q3156" s="1058"/>
      <c r="R3156" s="1063"/>
    </row>
    <row r="3157" spans="1:18" s="90" customFormat="1">
      <c r="A3157" s="1058"/>
      <c r="B3157" s="1064"/>
      <c r="C3157" s="1065"/>
      <c r="D3157" s="1058"/>
      <c r="E3157" s="1058"/>
      <c r="F3157" s="1066"/>
      <c r="G3157" s="1059"/>
      <c r="H3157" s="1067"/>
      <c r="I3157" s="1059"/>
      <c r="J3157" s="1068"/>
      <c r="K3157" s="1064"/>
      <c r="L3157" s="1069"/>
      <c r="M3157" s="1069"/>
      <c r="N3157" s="1069"/>
      <c r="O3157" s="1070"/>
      <c r="P3157" s="1071"/>
      <c r="Q3157" s="1058"/>
      <c r="R3157" s="1063"/>
    </row>
    <row r="3158" spans="1:18" s="90" customFormat="1">
      <c r="A3158" s="1058"/>
      <c r="B3158" s="1064"/>
      <c r="C3158" s="1065"/>
      <c r="D3158" s="1058"/>
      <c r="E3158" s="1058"/>
      <c r="F3158" s="1066"/>
      <c r="G3158" s="1059"/>
      <c r="H3158" s="1067"/>
      <c r="I3158" s="1059"/>
      <c r="J3158" s="1068"/>
      <c r="K3158" s="1064"/>
      <c r="L3158" s="1069"/>
      <c r="M3158" s="1069"/>
      <c r="N3158" s="1069"/>
      <c r="O3158" s="1070"/>
      <c r="P3158" s="1071"/>
      <c r="Q3158" s="1058"/>
      <c r="R3158" s="1063"/>
    </row>
    <row r="3159" spans="1:18" s="90" customFormat="1">
      <c r="A3159" s="1058"/>
      <c r="B3159" s="1064"/>
      <c r="C3159" s="1065"/>
      <c r="D3159" s="1058"/>
      <c r="E3159" s="1058"/>
      <c r="F3159" s="1066"/>
      <c r="G3159" s="1059"/>
      <c r="H3159" s="1067"/>
      <c r="I3159" s="1059"/>
      <c r="J3159" s="1068"/>
      <c r="K3159" s="1064"/>
      <c r="L3159" s="1069"/>
      <c r="M3159" s="1069"/>
      <c r="N3159" s="1069"/>
      <c r="O3159" s="1070"/>
      <c r="P3159" s="1071"/>
      <c r="Q3159" s="1058"/>
      <c r="R3159" s="1063"/>
    </row>
    <row r="3160" spans="1:18" s="90" customFormat="1">
      <c r="A3160" s="1058"/>
      <c r="B3160" s="1064"/>
      <c r="C3160" s="1065"/>
      <c r="D3160" s="1058"/>
      <c r="E3160" s="1058"/>
      <c r="F3160" s="1066"/>
      <c r="G3160" s="1059"/>
      <c r="H3160" s="1067"/>
      <c r="I3160" s="1059"/>
      <c r="J3160" s="1068"/>
      <c r="K3160" s="1064"/>
      <c r="L3160" s="1069"/>
      <c r="M3160" s="1069"/>
      <c r="N3160" s="1069"/>
      <c r="O3160" s="1070"/>
      <c r="P3160" s="1071"/>
      <c r="Q3160" s="1058"/>
      <c r="R3160" s="1063"/>
    </row>
    <row r="3161" spans="1:18" s="90" customFormat="1">
      <c r="A3161" s="1058"/>
      <c r="B3161" s="1064"/>
      <c r="C3161" s="1065"/>
      <c r="D3161" s="1058"/>
      <c r="E3161" s="1058"/>
      <c r="F3161" s="1066"/>
      <c r="G3161" s="1059"/>
      <c r="H3161" s="1067"/>
      <c r="I3161" s="1059"/>
      <c r="J3161" s="1068"/>
      <c r="K3161" s="1064"/>
      <c r="L3161" s="1069"/>
      <c r="M3161" s="1069"/>
      <c r="N3161" s="1069"/>
      <c r="O3161" s="1070"/>
      <c r="P3161" s="1071"/>
      <c r="Q3161" s="1058"/>
      <c r="R3161" s="1063"/>
    </row>
    <row r="3162" spans="1:18" s="90" customFormat="1">
      <c r="A3162" s="1058"/>
      <c r="B3162" s="1064"/>
      <c r="C3162" s="1065"/>
      <c r="D3162" s="1058"/>
      <c r="E3162" s="1058"/>
      <c r="F3162" s="1066"/>
      <c r="G3162" s="1059"/>
      <c r="H3162" s="1067"/>
      <c r="I3162" s="1059"/>
      <c r="J3162" s="1068"/>
      <c r="K3162" s="1064"/>
      <c r="L3162" s="1069"/>
      <c r="M3162" s="1069"/>
      <c r="N3162" s="1069"/>
      <c r="O3162" s="1070"/>
      <c r="P3162" s="1071"/>
      <c r="Q3162" s="1058"/>
      <c r="R3162" s="1063"/>
    </row>
    <row r="3163" spans="1:18" s="90" customFormat="1">
      <c r="A3163" s="1058"/>
      <c r="B3163" s="1064"/>
      <c r="C3163" s="1065"/>
      <c r="D3163" s="1058"/>
      <c r="E3163" s="1058"/>
      <c r="F3163" s="1066"/>
      <c r="G3163" s="1059"/>
      <c r="H3163" s="1067"/>
      <c r="I3163" s="1059"/>
      <c r="J3163" s="1068"/>
      <c r="K3163" s="1064"/>
      <c r="L3163" s="1069"/>
      <c r="M3163" s="1069"/>
      <c r="N3163" s="1069"/>
      <c r="O3163" s="1070"/>
      <c r="P3163" s="1071"/>
      <c r="Q3163" s="1058"/>
      <c r="R3163" s="1063"/>
    </row>
    <row r="3164" spans="1:18" s="90" customFormat="1">
      <c r="A3164" s="1058"/>
      <c r="B3164" s="1064"/>
      <c r="C3164" s="1065"/>
      <c r="D3164" s="1058"/>
      <c r="E3164" s="1058"/>
      <c r="F3164" s="1066"/>
      <c r="G3164" s="1059"/>
      <c r="H3164" s="1067"/>
      <c r="I3164" s="1059"/>
      <c r="J3164" s="1068"/>
      <c r="K3164" s="1064"/>
      <c r="L3164" s="1069"/>
      <c r="M3164" s="1069"/>
      <c r="N3164" s="1069"/>
      <c r="O3164" s="1070"/>
      <c r="P3164" s="1071"/>
      <c r="Q3164" s="1058"/>
      <c r="R3164" s="1063"/>
    </row>
    <row r="3165" spans="1:18" s="90" customFormat="1">
      <c r="A3165" s="1058"/>
      <c r="B3165" s="1064"/>
      <c r="C3165" s="1065"/>
      <c r="D3165" s="1058"/>
      <c r="E3165" s="1058"/>
      <c r="F3165" s="1066"/>
      <c r="G3165" s="1059"/>
      <c r="H3165" s="1067"/>
      <c r="I3165" s="1059"/>
      <c r="J3165" s="1068"/>
      <c r="K3165" s="1064"/>
      <c r="L3165" s="1069"/>
      <c r="M3165" s="1069"/>
      <c r="N3165" s="1069"/>
      <c r="O3165" s="1070"/>
      <c r="P3165" s="1071"/>
      <c r="Q3165" s="1058"/>
      <c r="R3165" s="1063"/>
    </row>
    <row r="3166" spans="1:18" s="90" customFormat="1">
      <c r="A3166" s="1058"/>
      <c r="B3166" s="1064"/>
      <c r="C3166" s="1065"/>
      <c r="D3166" s="1058"/>
      <c r="E3166" s="1058"/>
      <c r="F3166" s="1066"/>
      <c r="G3166" s="1059"/>
      <c r="H3166" s="1067"/>
      <c r="I3166" s="1059"/>
      <c r="J3166" s="1068"/>
      <c r="K3166" s="1064"/>
      <c r="L3166" s="1069"/>
      <c r="M3166" s="1069"/>
      <c r="N3166" s="1069"/>
      <c r="O3166" s="1070"/>
      <c r="P3166" s="1071"/>
      <c r="Q3166" s="1058"/>
      <c r="R3166" s="1063"/>
    </row>
    <row r="3167" spans="1:18" s="90" customFormat="1">
      <c r="A3167" s="1058"/>
      <c r="B3167" s="1064"/>
      <c r="C3167" s="1065"/>
      <c r="D3167" s="1058"/>
      <c r="E3167" s="1058"/>
      <c r="F3167" s="1066"/>
      <c r="G3167" s="1059"/>
      <c r="H3167" s="1067"/>
      <c r="I3167" s="1059"/>
      <c r="J3167" s="1068"/>
      <c r="K3167" s="1064"/>
      <c r="L3167" s="1069"/>
      <c r="M3167" s="1069"/>
      <c r="N3167" s="1069"/>
      <c r="O3167" s="1070"/>
      <c r="P3167" s="1071"/>
      <c r="Q3167" s="1058"/>
      <c r="R3167" s="1063"/>
    </row>
    <row r="3168" spans="1:18" s="90" customFormat="1">
      <c r="A3168" s="1058"/>
      <c r="B3168" s="1064"/>
      <c r="C3168" s="1065"/>
      <c r="D3168" s="1058"/>
      <c r="E3168" s="1058"/>
      <c r="F3168" s="1066"/>
      <c r="G3168" s="1059"/>
      <c r="H3168" s="1067"/>
      <c r="I3168" s="1059"/>
      <c r="J3168" s="1068"/>
      <c r="K3168" s="1064"/>
      <c r="L3168" s="1069"/>
      <c r="M3168" s="1069"/>
      <c r="N3168" s="1069"/>
      <c r="O3168" s="1070"/>
      <c r="P3168" s="1071"/>
      <c r="Q3168" s="1058"/>
      <c r="R3168" s="1063"/>
    </row>
    <row r="3169" spans="1:18" s="90" customFormat="1">
      <c r="A3169" s="1058"/>
      <c r="B3169" s="1064"/>
      <c r="C3169" s="1065"/>
      <c r="D3169" s="1058"/>
      <c r="E3169" s="1058"/>
      <c r="F3169" s="1066"/>
      <c r="G3169" s="1059"/>
      <c r="H3169" s="1067"/>
      <c r="I3169" s="1059"/>
      <c r="J3169" s="1068"/>
      <c r="K3169" s="1064"/>
      <c r="L3169" s="1069"/>
      <c r="M3169" s="1069"/>
      <c r="N3169" s="1069"/>
      <c r="O3169" s="1070"/>
      <c r="P3169" s="1071"/>
      <c r="Q3169" s="1058"/>
      <c r="R3169" s="1063"/>
    </row>
    <row r="3170" spans="1:18" s="90" customFormat="1">
      <c r="A3170" s="1058"/>
      <c r="B3170" s="1064"/>
      <c r="C3170" s="1065"/>
      <c r="D3170" s="1058"/>
      <c r="E3170" s="1058"/>
      <c r="F3170" s="1066"/>
      <c r="G3170" s="1059"/>
      <c r="H3170" s="1067"/>
      <c r="I3170" s="1059"/>
      <c r="J3170" s="1068"/>
      <c r="K3170" s="1064"/>
      <c r="L3170" s="1069"/>
      <c r="M3170" s="1069"/>
      <c r="N3170" s="1069"/>
      <c r="O3170" s="1070"/>
      <c r="P3170" s="1071"/>
      <c r="Q3170" s="1058"/>
      <c r="R3170" s="1063"/>
    </row>
    <row r="3171" spans="1:18" s="90" customFormat="1">
      <c r="A3171" s="1058"/>
      <c r="B3171" s="1064"/>
      <c r="C3171" s="1065"/>
      <c r="D3171" s="1058"/>
      <c r="E3171" s="1058"/>
      <c r="F3171" s="1066"/>
      <c r="G3171" s="1059"/>
      <c r="H3171" s="1067"/>
      <c r="I3171" s="1059"/>
      <c r="J3171" s="1068"/>
      <c r="K3171" s="1064"/>
      <c r="L3171" s="1069"/>
      <c r="M3171" s="1069"/>
      <c r="N3171" s="1069"/>
      <c r="O3171" s="1070"/>
      <c r="P3171" s="1071"/>
      <c r="Q3171" s="1058"/>
      <c r="R3171" s="1063"/>
    </row>
    <row r="3172" spans="1:18" s="90" customFormat="1">
      <c r="A3172" s="1058"/>
      <c r="B3172" s="1064"/>
      <c r="C3172" s="1065"/>
      <c r="D3172" s="1058"/>
      <c r="E3172" s="1058"/>
      <c r="F3172" s="1066"/>
      <c r="G3172" s="1059"/>
      <c r="H3172" s="1067"/>
      <c r="I3172" s="1059"/>
      <c r="J3172" s="1068"/>
      <c r="K3172" s="1064"/>
      <c r="L3172" s="1069"/>
      <c r="M3172" s="1069"/>
      <c r="N3172" s="1069"/>
      <c r="O3172" s="1070"/>
      <c r="P3172" s="1071"/>
      <c r="Q3172" s="1058"/>
      <c r="R3172" s="1063"/>
    </row>
    <row r="3173" spans="1:18" s="90" customFormat="1">
      <c r="A3173" s="1058"/>
      <c r="B3173" s="1064"/>
      <c r="C3173" s="1065"/>
      <c r="D3173" s="1058"/>
      <c r="E3173" s="1058"/>
      <c r="F3173" s="1066"/>
      <c r="G3173" s="1059"/>
      <c r="H3173" s="1067"/>
      <c r="I3173" s="1059"/>
      <c r="J3173" s="1068"/>
      <c r="K3173" s="1064"/>
      <c r="L3173" s="1069"/>
      <c r="M3173" s="1069"/>
      <c r="N3173" s="1069"/>
      <c r="O3173" s="1070"/>
      <c r="P3173" s="1071"/>
      <c r="Q3173" s="1058"/>
      <c r="R3173" s="1063"/>
    </row>
    <row r="3174" spans="1:18" s="90" customFormat="1">
      <c r="A3174" s="1058"/>
      <c r="B3174" s="1064"/>
      <c r="C3174" s="1065"/>
      <c r="D3174" s="1058"/>
      <c r="E3174" s="1058"/>
      <c r="F3174" s="1066"/>
      <c r="G3174" s="1059"/>
      <c r="H3174" s="1067"/>
      <c r="I3174" s="1059"/>
      <c r="J3174" s="1068"/>
      <c r="K3174" s="1064"/>
      <c r="L3174" s="1069"/>
      <c r="M3174" s="1069"/>
      <c r="N3174" s="1069"/>
      <c r="O3174" s="1070"/>
      <c r="P3174" s="1071"/>
      <c r="Q3174" s="1058"/>
      <c r="R3174" s="1063"/>
    </row>
    <row r="3175" spans="1:18" s="90" customFormat="1">
      <c r="A3175" s="1058"/>
      <c r="B3175" s="1064"/>
      <c r="C3175" s="1065"/>
      <c r="D3175" s="1058"/>
      <c r="E3175" s="1058"/>
      <c r="F3175" s="1066"/>
      <c r="G3175" s="1059"/>
      <c r="H3175" s="1067"/>
      <c r="I3175" s="1059"/>
      <c r="J3175" s="1068"/>
      <c r="K3175" s="1064"/>
      <c r="L3175" s="1069"/>
      <c r="M3175" s="1069"/>
      <c r="N3175" s="1069"/>
      <c r="O3175" s="1070"/>
      <c r="P3175" s="1071"/>
      <c r="Q3175" s="1058"/>
      <c r="R3175" s="1063"/>
    </row>
    <row r="3176" spans="1:18" s="90" customFormat="1">
      <c r="A3176" s="1058"/>
      <c r="B3176" s="1064"/>
      <c r="C3176" s="1065"/>
      <c r="D3176" s="1058"/>
      <c r="E3176" s="1058"/>
      <c r="F3176" s="1066"/>
      <c r="G3176" s="1059"/>
      <c r="H3176" s="1067"/>
      <c r="I3176" s="1059"/>
      <c r="J3176" s="1068"/>
      <c r="K3176" s="1064"/>
      <c r="L3176" s="1069"/>
      <c r="M3176" s="1069"/>
      <c r="N3176" s="1069"/>
      <c r="O3176" s="1070"/>
      <c r="P3176" s="1071"/>
      <c r="Q3176" s="1058"/>
      <c r="R3176" s="1063"/>
    </row>
    <row r="3177" spans="1:18" s="90" customFormat="1">
      <c r="A3177" s="1058"/>
      <c r="B3177" s="1064"/>
      <c r="C3177" s="1065"/>
      <c r="D3177" s="1058"/>
      <c r="E3177" s="1058"/>
      <c r="F3177" s="1066"/>
      <c r="G3177" s="1059"/>
      <c r="H3177" s="1067"/>
      <c r="I3177" s="1059"/>
      <c r="J3177" s="1068"/>
      <c r="K3177" s="1064"/>
      <c r="L3177" s="1069"/>
      <c r="M3177" s="1069"/>
      <c r="N3177" s="1069"/>
      <c r="O3177" s="1070"/>
      <c r="P3177" s="1071"/>
      <c r="Q3177" s="1058"/>
      <c r="R3177" s="1063"/>
    </row>
    <row r="3178" spans="1:18" s="90" customFormat="1">
      <c r="A3178" s="1058"/>
      <c r="B3178" s="1064"/>
      <c r="C3178" s="1065"/>
      <c r="D3178" s="1058"/>
      <c r="E3178" s="1058"/>
      <c r="F3178" s="1066"/>
      <c r="G3178" s="1059"/>
      <c r="H3178" s="1067"/>
      <c r="I3178" s="1059"/>
      <c r="J3178" s="1068"/>
      <c r="K3178" s="1064"/>
      <c r="L3178" s="1069"/>
      <c r="M3178" s="1069"/>
      <c r="N3178" s="1069"/>
      <c r="O3178" s="1070"/>
      <c r="P3178" s="1071"/>
      <c r="Q3178" s="1058"/>
      <c r="R3178" s="1063"/>
    </row>
    <row r="3179" spans="1:18" s="90" customFormat="1">
      <c r="A3179" s="1058"/>
      <c r="B3179" s="1064"/>
      <c r="C3179" s="1065"/>
      <c r="D3179" s="1058"/>
      <c r="E3179" s="1058"/>
      <c r="F3179" s="1066"/>
      <c r="G3179" s="1059"/>
      <c r="H3179" s="1067"/>
      <c r="I3179" s="1059"/>
      <c r="J3179" s="1068"/>
      <c r="K3179" s="1064"/>
      <c r="L3179" s="1069"/>
      <c r="M3179" s="1069"/>
      <c r="N3179" s="1069"/>
      <c r="O3179" s="1070"/>
      <c r="P3179" s="1071"/>
      <c r="Q3179" s="1058"/>
      <c r="R3179" s="1063"/>
    </row>
    <row r="3180" spans="1:18" s="90" customFormat="1">
      <c r="A3180" s="1058"/>
      <c r="B3180" s="1064"/>
      <c r="C3180" s="1065"/>
      <c r="D3180" s="1058"/>
      <c r="E3180" s="1058"/>
      <c r="F3180" s="1066"/>
      <c r="G3180" s="1059"/>
      <c r="H3180" s="1067"/>
      <c r="I3180" s="1059"/>
      <c r="J3180" s="1068"/>
      <c r="K3180" s="1064"/>
      <c r="L3180" s="1069"/>
      <c r="M3180" s="1069"/>
      <c r="N3180" s="1069"/>
      <c r="O3180" s="1070"/>
      <c r="P3180" s="1071"/>
      <c r="Q3180" s="1058"/>
      <c r="R3180" s="1063"/>
    </row>
    <row r="3181" spans="1:18" s="90" customFormat="1">
      <c r="A3181" s="1058"/>
      <c r="B3181" s="1064"/>
      <c r="C3181" s="1065"/>
      <c r="D3181" s="1058"/>
      <c r="E3181" s="1058"/>
      <c r="F3181" s="1066"/>
      <c r="G3181" s="1059"/>
      <c r="H3181" s="1067"/>
      <c r="I3181" s="1059"/>
      <c r="J3181" s="1068"/>
      <c r="K3181" s="1064"/>
      <c r="L3181" s="1069"/>
      <c r="M3181" s="1069"/>
      <c r="N3181" s="1069"/>
      <c r="O3181" s="1070"/>
      <c r="P3181" s="1071"/>
      <c r="Q3181" s="1058"/>
      <c r="R3181" s="1063"/>
    </row>
    <row r="3182" spans="1:18" s="90" customFormat="1">
      <c r="A3182" s="1058"/>
      <c r="B3182" s="1064"/>
      <c r="C3182" s="1065"/>
      <c r="D3182" s="1058"/>
      <c r="E3182" s="1058"/>
      <c r="F3182" s="1066"/>
      <c r="G3182" s="1059"/>
      <c r="H3182" s="1067"/>
      <c r="I3182" s="1059"/>
      <c r="J3182" s="1068"/>
      <c r="K3182" s="1064"/>
      <c r="L3182" s="1069"/>
      <c r="M3182" s="1069"/>
      <c r="N3182" s="1069"/>
      <c r="O3182" s="1070"/>
      <c r="P3182" s="1071"/>
      <c r="Q3182" s="1058"/>
      <c r="R3182" s="1063"/>
    </row>
    <row r="3183" spans="1:18" s="90" customFormat="1">
      <c r="A3183" s="1058"/>
      <c r="B3183" s="1064"/>
      <c r="C3183" s="1065"/>
      <c r="D3183" s="1058"/>
      <c r="E3183" s="1058"/>
      <c r="F3183" s="1066"/>
      <c r="G3183" s="1059"/>
      <c r="H3183" s="1067"/>
      <c r="I3183" s="1059"/>
      <c r="J3183" s="1068"/>
      <c r="K3183" s="1064"/>
      <c r="L3183" s="1069"/>
      <c r="M3183" s="1069"/>
      <c r="N3183" s="1069"/>
      <c r="O3183" s="1070"/>
      <c r="P3183" s="1071"/>
      <c r="Q3183" s="1058"/>
      <c r="R3183" s="1063"/>
    </row>
    <row r="3184" spans="1:18" s="90" customFormat="1">
      <c r="A3184" s="1058"/>
      <c r="B3184" s="1064"/>
      <c r="C3184" s="1065"/>
      <c r="D3184" s="1058"/>
      <c r="E3184" s="1058"/>
      <c r="F3184" s="1066"/>
      <c r="G3184" s="1059"/>
      <c r="H3184" s="1067"/>
      <c r="I3184" s="1059"/>
      <c r="J3184" s="1068"/>
      <c r="K3184" s="1064"/>
      <c r="L3184" s="1069"/>
      <c r="M3184" s="1069"/>
      <c r="N3184" s="1069"/>
      <c r="O3184" s="1070"/>
      <c r="P3184" s="1071"/>
      <c r="Q3184" s="1058"/>
      <c r="R3184" s="1063"/>
    </row>
    <row r="3185" spans="1:18">
      <c r="A3185" s="1058" t="s">
        <v>666</v>
      </c>
      <c r="B3185" s="1064">
        <f>+I289</f>
        <v>0</v>
      </c>
      <c r="C3185" s="1065">
        <f ca="1">+H127</f>
        <v>3476161.0300000003</v>
      </c>
      <c r="D3185" s="1065">
        <f ca="1">+I127</f>
        <v>3926880</v>
      </c>
      <c r="E3185" s="1058">
        <f>+E3079+1</f>
        <v>13</v>
      </c>
      <c r="F3185" s="1066">
        <v>5</v>
      </c>
      <c r="G3185" s="1059" t="s">
        <v>588</v>
      </c>
      <c r="H3185" s="1067">
        <f>+H3079</f>
        <v>44181</v>
      </c>
      <c r="I3185" s="1059">
        <f>+I3079</f>
        <v>450</v>
      </c>
      <c r="J3185" s="1068">
        <f t="shared" si="90"/>
        <v>44631</v>
      </c>
      <c r="K3185" s="1064">
        <f ca="1">+D3185</f>
        <v>3926880</v>
      </c>
      <c r="L3185" s="1069">
        <v>0.3</v>
      </c>
      <c r="M3185" s="1069">
        <f ca="1">+K3185*L3185/100</f>
        <v>11780.64</v>
      </c>
      <c r="N3185" s="1069">
        <f ca="1">+K3185+M3185</f>
        <v>3938660.64</v>
      </c>
      <c r="O3185" s="1070">
        <f ca="1">IF(+TODAY()&gt;=J3185,0,1.01)</f>
        <v>1.01</v>
      </c>
      <c r="P3185" s="1071">
        <f ca="1">+O3185</f>
        <v>1.01</v>
      </c>
      <c r="Q3185" s="1058"/>
      <c r="R3185" s="1063"/>
    </row>
    <row r="3186" spans="1:18" s="90" customFormat="1">
      <c r="A3186" s="1058"/>
      <c r="B3186" s="1064"/>
      <c r="C3186" s="1065"/>
      <c r="D3186" s="1065"/>
      <c r="E3186" s="1058"/>
      <c r="F3186" s="1066"/>
      <c r="G3186" s="1059"/>
      <c r="H3186" s="1067"/>
      <c r="I3186" s="1059"/>
      <c r="J3186" s="1068"/>
      <c r="K3186" s="1064"/>
      <c r="L3186" s="1069"/>
      <c r="M3186" s="1069"/>
      <c r="N3186" s="1069"/>
      <c r="O3186" s="1070"/>
      <c r="P3186" s="1071"/>
      <c r="Q3186" s="1058"/>
      <c r="R3186" s="1063"/>
    </row>
    <row r="3187" spans="1:18" s="90" customFormat="1">
      <c r="A3187" s="1058"/>
      <c r="B3187" s="1064"/>
      <c r="C3187" s="1065"/>
      <c r="D3187" s="1065"/>
      <c r="E3187" s="1058"/>
      <c r="F3187" s="1066"/>
      <c r="G3187" s="1059"/>
      <c r="H3187" s="1067"/>
      <c r="I3187" s="1059"/>
      <c r="J3187" s="1068"/>
      <c r="K3187" s="1064"/>
      <c r="L3187" s="1069"/>
      <c r="M3187" s="1069"/>
      <c r="N3187" s="1069"/>
      <c r="O3187" s="1070"/>
      <c r="P3187" s="1071"/>
      <c r="Q3187" s="1058"/>
      <c r="R3187" s="1063"/>
    </row>
    <row r="3188" spans="1:18" s="90" customFormat="1">
      <c r="A3188" s="1058"/>
      <c r="B3188" s="1064"/>
      <c r="C3188" s="1065"/>
      <c r="D3188" s="1065"/>
      <c r="E3188" s="1058"/>
      <c r="F3188" s="1066"/>
      <c r="G3188" s="1059"/>
      <c r="H3188" s="1067"/>
      <c r="I3188" s="1059"/>
      <c r="J3188" s="1068"/>
      <c r="K3188" s="1064"/>
      <c r="L3188" s="1069"/>
      <c r="M3188" s="1069"/>
      <c r="N3188" s="1069"/>
      <c r="O3188" s="1070"/>
      <c r="P3188" s="1071"/>
      <c r="Q3188" s="1058"/>
      <c r="R3188" s="1063"/>
    </row>
    <row r="3189" spans="1:18" s="90" customFormat="1">
      <c r="A3189" s="1058"/>
      <c r="B3189" s="1064"/>
      <c r="C3189" s="1065"/>
      <c r="D3189" s="1065"/>
      <c r="E3189" s="1058"/>
      <c r="F3189" s="1066"/>
      <c r="G3189" s="1059"/>
      <c r="H3189" s="1067"/>
      <c r="I3189" s="1059"/>
      <c r="J3189" s="1068"/>
      <c r="K3189" s="1064"/>
      <c r="L3189" s="1069"/>
      <c r="M3189" s="1069"/>
      <c r="N3189" s="1069"/>
      <c r="O3189" s="1070"/>
      <c r="P3189" s="1071"/>
      <c r="Q3189" s="1058"/>
      <c r="R3189" s="1063"/>
    </row>
    <row r="3190" spans="1:18" s="90" customFormat="1">
      <c r="A3190" s="1058"/>
      <c r="B3190" s="1064"/>
      <c r="C3190" s="1065"/>
      <c r="D3190" s="1065"/>
      <c r="E3190" s="1058"/>
      <c r="F3190" s="1066"/>
      <c r="G3190" s="1059"/>
      <c r="H3190" s="1067"/>
      <c r="I3190" s="1059"/>
      <c r="J3190" s="1068"/>
      <c r="K3190" s="1064"/>
      <c r="L3190" s="1069"/>
      <c r="M3190" s="1069"/>
      <c r="N3190" s="1069"/>
      <c r="O3190" s="1070"/>
      <c r="P3190" s="1071"/>
      <c r="Q3190" s="1058"/>
      <c r="R3190" s="1063"/>
    </row>
    <row r="3191" spans="1:18" s="90" customFormat="1">
      <c r="A3191" s="1058"/>
      <c r="B3191" s="1064"/>
      <c r="C3191" s="1065"/>
      <c r="D3191" s="1065"/>
      <c r="E3191" s="1058"/>
      <c r="F3191" s="1066"/>
      <c r="G3191" s="1059"/>
      <c r="H3191" s="1067"/>
      <c r="I3191" s="1059"/>
      <c r="J3191" s="1068"/>
      <c r="K3191" s="1064"/>
      <c r="L3191" s="1069"/>
      <c r="M3191" s="1069"/>
      <c r="N3191" s="1069"/>
      <c r="O3191" s="1070"/>
      <c r="P3191" s="1071"/>
      <c r="Q3191" s="1058"/>
      <c r="R3191" s="1063"/>
    </row>
    <row r="3192" spans="1:18" s="90" customFormat="1">
      <c r="A3192" s="1058"/>
      <c r="B3192" s="1064"/>
      <c r="C3192" s="1065"/>
      <c r="D3192" s="1065"/>
      <c r="E3192" s="1058"/>
      <c r="F3192" s="1066"/>
      <c r="G3192" s="1059"/>
      <c r="H3192" s="1067"/>
      <c r="I3192" s="1059"/>
      <c r="J3192" s="1068"/>
      <c r="K3192" s="1064"/>
      <c r="L3192" s="1069"/>
      <c r="M3192" s="1069"/>
      <c r="N3192" s="1069"/>
      <c r="O3192" s="1070"/>
      <c r="P3192" s="1071"/>
      <c r="Q3192" s="1058"/>
      <c r="R3192" s="1063"/>
    </row>
    <row r="3193" spans="1:18" s="90" customFormat="1">
      <c r="A3193" s="1058"/>
      <c r="B3193" s="1064"/>
      <c r="C3193" s="1065"/>
      <c r="D3193" s="1065"/>
      <c r="E3193" s="1058"/>
      <c r="F3193" s="1066"/>
      <c r="G3193" s="1059"/>
      <c r="H3193" s="1067"/>
      <c r="I3193" s="1059"/>
      <c r="J3193" s="1068"/>
      <c r="K3193" s="1064"/>
      <c r="L3193" s="1069"/>
      <c r="M3193" s="1069"/>
      <c r="N3193" s="1069"/>
      <c r="O3193" s="1070"/>
      <c r="P3193" s="1071"/>
      <c r="Q3193" s="1058"/>
      <c r="R3193" s="1063"/>
    </row>
    <row r="3194" spans="1:18" s="90" customFormat="1">
      <c r="A3194" s="1058"/>
      <c r="B3194" s="1064"/>
      <c r="C3194" s="1065"/>
      <c r="D3194" s="1065"/>
      <c r="E3194" s="1058"/>
      <c r="F3194" s="1066"/>
      <c r="G3194" s="1059"/>
      <c r="H3194" s="1067"/>
      <c r="I3194" s="1059"/>
      <c r="J3194" s="1068"/>
      <c r="K3194" s="1064"/>
      <c r="L3194" s="1069"/>
      <c r="M3194" s="1069"/>
      <c r="N3194" s="1069"/>
      <c r="O3194" s="1070"/>
      <c r="P3194" s="1071"/>
      <c r="Q3194" s="1058"/>
      <c r="R3194" s="1063"/>
    </row>
    <row r="3195" spans="1:18" s="90" customFormat="1">
      <c r="A3195" s="1058"/>
      <c r="B3195" s="1064"/>
      <c r="C3195" s="1065"/>
      <c r="D3195" s="1065"/>
      <c r="E3195" s="1058"/>
      <c r="F3195" s="1066"/>
      <c r="G3195" s="1059"/>
      <c r="H3195" s="1067"/>
      <c r="I3195" s="1059"/>
      <c r="J3195" s="1068"/>
      <c r="K3195" s="1064"/>
      <c r="L3195" s="1069"/>
      <c r="M3195" s="1069"/>
      <c r="N3195" s="1069"/>
      <c r="O3195" s="1070"/>
      <c r="P3195" s="1071"/>
      <c r="Q3195" s="1058"/>
      <c r="R3195" s="1063"/>
    </row>
    <row r="3196" spans="1:18" s="90" customFormat="1">
      <c r="A3196" s="1058"/>
      <c r="B3196" s="1064"/>
      <c r="C3196" s="1065"/>
      <c r="D3196" s="1065"/>
      <c r="E3196" s="1058"/>
      <c r="F3196" s="1066"/>
      <c r="G3196" s="1059"/>
      <c r="H3196" s="1067"/>
      <c r="I3196" s="1059"/>
      <c r="J3196" s="1068"/>
      <c r="K3196" s="1064"/>
      <c r="L3196" s="1069"/>
      <c r="M3196" s="1069"/>
      <c r="N3196" s="1069"/>
      <c r="O3196" s="1070"/>
      <c r="P3196" s="1071"/>
      <c r="Q3196" s="1058"/>
      <c r="R3196" s="1063"/>
    </row>
    <row r="3197" spans="1:18" s="90" customFormat="1">
      <c r="A3197" s="1058"/>
      <c r="B3197" s="1064"/>
      <c r="C3197" s="1065"/>
      <c r="D3197" s="1065"/>
      <c r="E3197" s="1058"/>
      <c r="F3197" s="1066"/>
      <c r="G3197" s="1059"/>
      <c r="H3197" s="1067"/>
      <c r="I3197" s="1059"/>
      <c r="J3197" s="1068"/>
      <c r="K3197" s="1064"/>
      <c r="L3197" s="1069"/>
      <c r="M3197" s="1069"/>
      <c r="N3197" s="1069"/>
      <c r="O3197" s="1070"/>
      <c r="P3197" s="1071"/>
      <c r="Q3197" s="1058"/>
      <c r="R3197" s="1063"/>
    </row>
    <row r="3198" spans="1:18" s="90" customFormat="1">
      <c r="A3198" s="1058"/>
      <c r="B3198" s="1064"/>
      <c r="C3198" s="1065"/>
      <c r="D3198" s="1065"/>
      <c r="E3198" s="1058"/>
      <c r="F3198" s="1066"/>
      <c r="G3198" s="1059"/>
      <c r="H3198" s="1067"/>
      <c r="I3198" s="1059"/>
      <c r="J3198" s="1068"/>
      <c r="K3198" s="1064"/>
      <c r="L3198" s="1069"/>
      <c r="M3198" s="1069"/>
      <c r="N3198" s="1069"/>
      <c r="O3198" s="1070"/>
      <c r="P3198" s="1071"/>
      <c r="Q3198" s="1058"/>
      <c r="R3198" s="1063"/>
    </row>
    <row r="3199" spans="1:18" s="90" customFormat="1">
      <c r="A3199" s="1058"/>
      <c r="B3199" s="1064"/>
      <c r="C3199" s="1065"/>
      <c r="D3199" s="1065"/>
      <c r="E3199" s="1058"/>
      <c r="F3199" s="1066"/>
      <c r="G3199" s="1059"/>
      <c r="H3199" s="1067"/>
      <c r="I3199" s="1059"/>
      <c r="J3199" s="1068"/>
      <c r="K3199" s="1064"/>
      <c r="L3199" s="1069"/>
      <c r="M3199" s="1069"/>
      <c r="N3199" s="1069"/>
      <c r="O3199" s="1070"/>
      <c r="P3199" s="1071"/>
      <c r="Q3199" s="1058"/>
      <c r="R3199" s="1063"/>
    </row>
    <row r="3200" spans="1:18" s="90" customFormat="1">
      <c r="A3200" s="1058"/>
      <c r="B3200" s="1064"/>
      <c r="C3200" s="1065"/>
      <c r="D3200" s="1065"/>
      <c r="E3200" s="1058"/>
      <c r="F3200" s="1066"/>
      <c r="G3200" s="1059"/>
      <c r="H3200" s="1067"/>
      <c r="I3200" s="1059"/>
      <c r="J3200" s="1068"/>
      <c r="K3200" s="1064"/>
      <c r="L3200" s="1069"/>
      <c r="M3200" s="1069"/>
      <c r="N3200" s="1069"/>
      <c r="O3200" s="1070"/>
      <c r="P3200" s="1071"/>
      <c r="Q3200" s="1058"/>
      <c r="R3200" s="1063"/>
    </row>
    <row r="3201" spans="1:18" s="90" customFormat="1">
      <c r="A3201" s="1058"/>
      <c r="B3201" s="1064"/>
      <c r="C3201" s="1065"/>
      <c r="D3201" s="1065"/>
      <c r="E3201" s="1058"/>
      <c r="F3201" s="1066"/>
      <c r="G3201" s="1059"/>
      <c r="H3201" s="1067"/>
      <c r="I3201" s="1059"/>
      <c r="J3201" s="1068"/>
      <c r="K3201" s="1064"/>
      <c r="L3201" s="1069"/>
      <c r="M3201" s="1069"/>
      <c r="N3201" s="1069"/>
      <c r="O3201" s="1070"/>
      <c r="P3201" s="1071"/>
      <c r="Q3201" s="1058"/>
      <c r="R3201" s="1063"/>
    </row>
    <row r="3202" spans="1:18" s="90" customFormat="1">
      <c r="A3202" s="1058"/>
      <c r="B3202" s="1064"/>
      <c r="C3202" s="1065"/>
      <c r="D3202" s="1065"/>
      <c r="E3202" s="1058"/>
      <c r="F3202" s="1066"/>
      <c r="G3202" s="1059"/>
      <c r="H3202" s="1067"/>
      <c r="I3202" s="1059"/>
      <c r="J3202" s="1068"/>
      <c r="K3202" s="1064"/>
      <c r="L3202" s="1069"/>
      <c r="M3202" s="1069"/>
      <c r="N3202" s="1069"/>
      <c r="O3202" s="1070"/>
      <c r="P3202" s="1071"/>
      <c r="Q3202" s="1058"/>
      <c r="R3202" s="1063"/>
    </row>
    <row r="3203" spans="1:18" s="90" customFormat="1">
      <c r="A3203" s="1058"/>
      <c r="B3203" s="1064"/>
      <c r="C3203" s="1065"/>
      <c r="D3203" s="1065"/>
      <c r="E3203" s="1058"/>
      <c r="F3203" s="1066"/>
      <c r="G3203" s="1059"/>
      <c r="H3203" s="1067"/>
      <c r="I3203" s="1059"/>
      <c r="J3203" s="1068"/>
      <c r="K3203" s="1064"/>
      <c r="L3203" s="1069"/>
      <c r="M3203" s="1069"/>
      <c r="N3203" s="1069"/>
      <c r="O3203" s="1070"/>
      <c r="P3203" s="1071"/>
      <c r="Q3203" s="1058"/>
      <c r="R3203" s="1063"/>
    </row>
    <row r="3204" spans="1:18" s="90" customFormat="1">
      <c r="A3204" s="1058"/>
      <c r="B3204" s="1064"/>
      <c r="C3204" s="1065"/>
      <c r="D3204" s="1065"/>
      <c r="E3204" s="1058"/>
      <c r="F3204" s="1066"/>
      <c r="G3204" s="1059"/>
      <c r="H3204" s="1067"/>
      <c r="I3204" s="1059"/>
      <c r="J3204" s="1068"/>
      <c r="K3204" s="1064"/>
      <c r="L3204" s="1069"/>
      <c r="M3204" s="1069"/>
      <c r="N3204" s="1069"/>
      <c r="O3204" s="1070"/>
      <c r="P3204" s="1071"/>
      <c r="Q3204" s="1058"/>
      <c r="R3204" s="1063"/>
    </row>
    <row r="3205" spans="1:18" s="90" customFormat="1">
      <c r="A3205" s="1058"/>
      <c r="B3205" s="1064"/>
      <c r="C3205" s="1065"/>
      <c r="D3205" s="1065"/>
      <c r="E3205" s="1058"/>
      <c r="F3205" s="1066"/>
      <c r="G3205" s="1059"/>
      <c r="H3205" s="1067"/>
      <c r="I3205" s="1059"/>
      <c r="J3205" s="1068"/>
      <c r="K3205" s="1064"/>
      <c r="L3205" s="1069"/>
      <c r="M3205" s="1069"/>
      <c r="N3205" s="1069"/>
      <c r="O3205" s="1070"/>
      <c r="P3205" s="1071"/>
      <c r="Q3205" s="1058"/>
      <c r="R3205" s="1063"/>
    </row>
    <row r="3206" spans="1:18" s="90" customFormat="1">
      <c r="A3206" s="1058"/>
      <c r="B3206" s="1064"/>
      <c r="C3206" s="1065"/>
      <c r="D3206" s="1065"/>
      <c r="E3206" s="1058"/>
      <c r="F3206" s="1066"/>
      <c r="G3206" s="1059"/>
      <c r="H3206" s="1067"/>
      <c r="I3206" s="1059"/>
      <c r="J3206" s="1068"/>
      <c r="K3206" s="1064"/>
      <c r="L3206" s="1069"/>
      <c r="M3206" s="1069"/>
      <c r="N3206" s="1069"/>
      <c r="O3206" s="1070"/>
      <c r="P3206" s="1071"/>
      <c r="Q3206" s="1058"/>
      <c r="R3206" s="1063"/>
    </row>
    <row r="3207" spans="1:18" s="90" customFormat="1">
      <c r="A3207" s="1058"/>
      <c r="B3207" s="1064"/>
      <c r="C3207" s="1065"/>
      <c r="D3207" s="1065"/>
      <c r="E3207" s="1058"/>
      <c r="F3207" s="1066"/>
      <c r="G3207" s="1059"/>
      <c r="H3207" s="1067"/>
      <c r="I3207" s="1059"/>
      <c r="J3207" s="1068"/>
      <c r="K3207" s="1064"/>
      <c r="L3207" s="1069"/>
      <c r="M3207" s="1069"/>
      <c r="N3207" s="1069"/>
      <c r="O3207" s="1070"/>
      <c r="P3207" s="1071"/>
      <c r="Q3207" s="1058"/>
      <c r="R3207" s="1063"/>
    </row>
    <row r="3208" spans="1:18" s="90" customFormat="1">
      <c r="A3208" s="1058"/>
      <c r="B3208" s="1064"/>
      <c r="C3208" s="1065"/>
      <c r="D3208" s="1065"/>
      <c r="E3208" s="1058"/>
      <c r="F3208" s="1066"/>
      <c r="G3208" s="1059"/>
      <c r="H3208" s="1067"/>
      <c r="I3208" s="1059"/>
      <c r="J3208" s="1068"/>
      <c r="K3208" s="1064"/>
      <c r="L3208" s="1069"/>
      <c r="M3208" s="1069"/>
      <c r="N3208" s="1069"/>
      <c r="O3208" s="1070"/>
      <c r="P3208" s="1071"/>
      <c r="Q3208" s="1058"/>
      <c r="R3208" s="1063"/>
    </row>
    <row r="3209" spans="1:18" s="90" customFormat="1">
      <c r="A3209" s="1058"/>
      <c r="B3209" s="1064"/>
      <c r="C3209" s="1065"/>
      <c r="D3209" s="1065"/>
      <c r="E3209" s="1058"/>
      <c r="F3209" s="1066"/>
      <c r="G3209" s="1059"/>
      <c r="H3209" s="1067"/>
      <c r="I3209" s="1059"/>
      <c r="J3209" s="1068"/>
      <c r="K3209" s="1064"/>
      <c r="L3209" s="1069"/>
      <c r="M3209" s="1069"/>
      <c r="N3209" s="1069"/>
      <c r="O3209" s="1070"/>
      <c r="P3209" s="1071"/>
      <c r="Q3209" s="1058"/>
      <c r="R3209" s="1063"/>
    </row>
    <row r="3210" spans="1:18" s="90" customFormat="1">
      <c r="A3210" s="1058"/>
      <c r="B3210" s="1064"/>
      <c r="C3210" s="1065"/>
      <c r="D3210" s="1065"/>
      <c r="E3210" s="1058"/>
      <c r="F3210" s="1066"/>
      <c r="G3210" s="1059"/>
      <c r="H3210" s="1067"/>
      <c r="I3210" s="1059"/>
      <c r="J3210" s="1068"/>
      <c r="K3210" s="1064"/>
      <c r="L3210" s="1069"/>
      <c r="M3210" s="1069"/>
      <c r="N3210" s="1069"/>
      <c r="O3210" s="1070"/>
      <c r="P3210" s="1071"/>
      <c r="Q3210" s="1058"/>
      <c r="R3210" s="1063"/>
    </row>
    <row r="3211" spans="1:18" s="90" customFormat="1">
      <c r="A3211" s="1058"/>
      <c r="B3211" s="1064"/>
      <c r="C3211" s="1065"/>
      <c r="D3211" s="1065"/>
      <c r="E3211" s="1058"/>
      <c r="F3211" s="1066"/>
      <c r="G3211" s="1059"/>
      <c r="H3211" s="1067"/>
      <c r="I3211" s="1059"/>
      <c r="J3211" s="1068"/>
      <c r="K3211" s="1064"/>
      <c r="L3211" s="1069"/>
      <c r="M3211" s="1069"/>
      <c r="N3211" s="1069"/>
      <c r="O3211" s="1070"/>
      <c r="P3211" s="1071"/>
      <c r="Q3211" s="1058"/>
      <c r="R3211" s="1063"/>
    </row>
    <row r="3212" spans="1:18" s="90" customFormat="1">
      <c r="A3212" s="1058"/>
      <c r="B3212" s="1064"/>
      <c r="C3212" s="1065"/>
      <c r="D3212" s="1065"/>
      <c r="E3212" s="1058"/>
      <c r="F3212" s="1066"/>
      <c r="G3212" s="1059"/>
      <c r="H3212" s="1067"/>
      <c r="I3212" s="1059"/>
      <c r="J3212" s="1068"/>
      <c r="K3212" s="1064"/>
      <c r="L3212" s="1069"/>
      <c r="M3212" s="1069"/>
      <c r="N3212" s="1069"/>
      <c r="O3212" s="1070"/>
      <c r="P3212" s="1071"/>
      <c r="Q3212" s="1058"/>
      <c r="R3212" s="1063"/>
    </row>
    <row r="3213" spans="1:18" s="90" customFormat="1">
      <c r="A3213" s="1058"/>
      <c r="B3213" s="1064"/>
      <c r="C3213" s="1065"/>
      <c r="D3213" s="1065"/>
      <c r="E3213" s="1058"/>
      <c r="F3213" s="1066"/>
      <c r="G3213" s="1059"/>
      <c r="H3213" s="1067"/>
      <c r="I3213" s="1059"/>
      <c r="J3213" s="1068"/>
      <c r="K3213" s="1064"/>
      <c r="L3213" s="1069"/>
      <c r="M3213" s="1069"/>
      <c r="N3213" s="1069"/>
      <c r="O3213" s="1070"/>
      <c r="P3213" s="1071"/>
      <c r="Q3213" s="1058"/>
      <c r="R3213" s="1063"/>
    </row>
    <row r="3214" spans="1:18" s="90" customFormat="1">
      <c r="A3214" s="1058"/>
      <c r="B3214" s="1064"/>
      <c r="C3214" s="1065"/>
      <c r="D3214" s="1065"/>
      <c r="E3214" s="1058"/>
      <c r="F3214" s="1066"/>
      <c r="G3214" s="1059"/>
      <c r="H3214" s="1067"/>
      <c r="I3214" s="1059"/>
      <c r="J3214" s="1068"/>
      <c r="K3214" s="1064"/>
      <c r="L3214" s="1069"/>
      <c r="M3214" s="1069"/>
      <c r="N3214" s="1069"/>
      <c r="O3214" s="1070"/>
      <c r="P3214" s="1071"/>
      <c r="Q3214" s="1058"/>
      <c r="R3214" s="1063"/>
    </row>
    <row r="3215" spans="1:18" s="90" customFormat="1">
      <c r="A3215" s="1058"/>
      <c r="B3215" s="1064"/>
      <c r="C3215" s="1065"/>
      <c r="D3215" s="1065"/>
      <c r="E3215" s="1058"/>
      <c r="F3215" s="1066"/>
      <c r="G3215" s="1059"/>
      <c r="H3215" s="1067"/>
      <c r="I3215" s="1059"/>
      <c r="J3215" s="1068"/>
      <c r="K3215" s="1064"/>
      <c r="L3215" s="1069"/>
      <c r="M3215" s="1069"/>
      <c r="N3215" s="1069"/>
      <c r="O3215" s="1070"/>
      <c r="P3215" s="1071"/>
      <c r="Q3215" s="1058"/>
      <c r="R3215" s="1063"/>
    </row>
    <row r="3216" spans="1:18" s="90" customFormat="1">
      <c r="A3216" s="1058"/>
      <c r="B3216" s="1064"/>
      <c r="C3216" s="1065"/>
      <c r="D3216" s="1065"/>
      <c r="E3216" s="1058"/>
      <c r="F3216" s="1066"/>
      <c r="G3216" s="1059"/>
      <c r="H3216" s="1067"/>
      <c r="I3216" s="1059"/>
      <c r="J3216" s="1068"/>
      <c r="K3216" s="1064"/>
      <c r="L3216" s="1069"/>
      <c r="M3216" s="1069"/>
      <c r="N3216" s="1069"/>
      <c r="O3216" s="1070"/>
      <c r="P3216" s="1071"/>
      <c r="Q3216" s="1058"/>
      <c r="R3216" s="1063"/>
    </row>
    <row r="3217" spans="1:18" s="90" customFormat="1">
      <c r="A3217" s="1058"/>
      <c r="B3217" s="1064"/>
      <c r="C3217" s="1065"/>
      <c r="D3217" s="1065"/>
      <c r="E3217" s="1058"/>
      <c r="F3217" s="1066"/>
      <c r="G3217" s="1059"/>
      <c r="H3217" s="1067"/>
      <c r="I3217" s="1059"/>
      <c r="J3217" s="1068"/>
      <c r="K3217" s="1064"/>
      <c r="L3217" s="1069"/>
      <c r="M3217" s="1069"/>
      <c r="N3217" s="1069"/>
      <c r="O3217" s="1070"/>
      <c r="P3217" s="1071"/>
      <c r="Q3217" s="1058"/>
      <c r="R3217" s="1063"/>
    </row>
    <row r="3218" spans="1:18" s="90" customFormat="1">
      <c r="A3218" s="1058"/>
      <c r="B3218" s="1064"/>
      <c r="C3218" s="1065"/>
      <c r="D3218" s="1065"/>
      <c r="E3218" s="1058"/>
      <c r="F3218" s="1066"/>
      <c r="G3218" s="1059"/>
      <c r="H3218" s="1067"/>
      <c r="I3218" s="1059"/>
      <c r="J3218" s="1068"/>
      <c r="K3218" s="1064"/>
      <c r="L3218" s="1069"/>
      <c r="M3218" s="1069"/>
      <c r="N3218" s="1069"/>
      <c r="O3218" s="1070"/>
      <c r="P3218" s="1071"/>
      <c r="Q3218" s="1058"/>
      <c r="R3218" s="1063"/>
    </row>
    <row r="3219" spans="1:18" s="90" customFormat="1">
      <c r="A3219" s="1058"/>
      <c r="B3219" s="1064"/>
      <c r="C3219" s="1065"/>
      <c r="D3219" s="1065"/>
      <c r="E3219" s="1058"/>
      <c r="F3219" s="1066"/>
      <c r="G3219" s="1059"/>
      <c r="H3219" s="1067"/>
      <c r="I3219" s="1059"/>
      <c r="J3219" s="1068"/>
      <c r="K3219" s="1064"/>
      <c r="L3219" s="1069"/>
      <c r="M3219" s="1069"/>
      <c r="N3219" s="1069"/>
      <c r="O3219" s="1070"/>
      <c r="P3219" s="1071"/>
      <c r="Q3219" s="1058"/>
      <c r="R3219" s="1063"/>
    </row>
    <row r="3220" spans="1:18" s="90" customFormat="1">
      <c r="A3220" s="1058"/>
      <c r="B3220" s="1064"/>
      <c r="C3220" s="1065"/>
      <c r="D3220" s="1065"/>
      <c r="E3220" s="1058"/>
      <c r="F3220" s="1066"/>
      <c r="G3220" s="1059"/>
      <c r="H3220" s="1067"/>
      <c r="I3220" s="1059"/>
      <c r="J3220" s="1068"/>
      <c r="K3220" s="1064"/>
      <c r="L3220" s="1069"/>
      <c r="M3220" s="1069"/>
      <c r="N3220" s="1069"/>
      <c r="O3220" s="1070"/>
      <c r="P3220" s="1071"/>
      <c r="Q3220" s="1058"/>
      <c r="R3220" s="1063"/>
    </row>
    <row r="3221" spans="1:18" s="90" customFormat="1">
      <c r="A3221" s="1058"/>
      <c r="B3221" s="1064"/>
      <c r="C3221" s="1065"/>
      <c r="D3221" s="1065"/>
      <c r="E3221" s="1058"/>
      <c r="F3221" s="1066"/>
      <c r="G3221" s="1059"/>
      <c r="H3221" s="1067"/>
      <c r="I3221" s="1059"/>
      <c r="J3221" s="1068"/>
      <c r="K3221" s="1064"/>
      <c r="L3221" s="1069"/>
      <c r="M3221" s="1069"/>
      <c r="N3221" s="1069"/>
      <c r="O3221" s="1070"/>
      <c r="P3221" s="1071"/>
      <c r="Q3221" s="1058"/>
      <c r="R3221" s="1063"/>
    </row>
    <row r="3222" spans="1:18" s="90" customFormat="1">
      <c r="A3222" s="1058"/>
      <c r="B3222" s="1064"/>
      <c r="C3222" s="1065"/>
      <c r="D3222" s="1065"/>
      <c r="E3222" s="1058"/>
      <c r="F3222" s="1066"/>
      <c r="G3222" s="1059"/>
      <c r="H3222" s="1067"/>
      <c r="I3222" s="1059"/>
      <c r="J3222" s="1068"/>
      <c r="K3222" s="1064"/>
      <c r="L3222" s="1069"/>
      <c r="M3222" s="1069"/>
      <c r="N3222" s="1069"/>
      <c r="O3222" s="1070"/>
      <c r="P3222" s="1071"/>
      <c r="Q3222" s="1058"/>
      <c r="R3222" s="1063"/>
    </row>
    <row r="3223" spans="1:18" s="90" customFormat="1">
      <c r="A3223" s="1058"/>
      <c r="B3223" s="1064"/>
      <c r="C3223" s="1065"/>
      <c r="D3223" s="1065"/>
      <c r="E3223" s="1058"/>
      <c r="F3223" s="1066"/>
      <c r="G3223" s="1059"/>
      <c r="H3223" s="1067"/>
      <c r="I3223" s="1059"/>
      <c r="J3223" s="1068"/>
      <c r="K3223" s="1064"/>
      <c r="L3223" s="1069"/>
      <c r="M3223" s="1069"/>
      <c r="N3223" s="1069"/>
      <c r="O3223" s="1070"/>
      <c r="P3223" s="1071"/>
      <c r="Q3223" s="1058"/>
      <c r="R3223" s="1063"/>
    </row>
    <row r="3224" spans="1:18" s="90" customFormat="1">
      <c r="A3224" s="1058"/>
      <c r="B3224" s="1064"/>
      <c r="C3224" s="1065"/>
      <c r="D3224" s="1065"/>
      <c r="E3224" s="1058"/>
      <c r="F3224" s="1066"/>
      <c r="G3224" s="1059"/>
      <c r="H3224" s="1067"/>
      <c r="I3224" s="1059"/>
      <c r="J3224" s="1068"/>
      <c r="K3224" s="1064"/>
      <c r="L3224" s="1069"/>
      <c r="M3224" s="1069"/>
      <c r="N3224" s="1069"/>
      <c r="O3224" s="1070"/>
      <c r="P3224" s="1071"/>
      <c r="Q3224" s="1058"/>
      <c r="R3224" s="1063"/>
    </row>
    <row r="3225" spans="1:18" s="90" customFormat="1">
      <c r="A3225" s="1058"/>
      <c r="B3225" s="1064"/>
      <c r="C3225" s="1065"/>
      <c r="D3225" s="1065"/>
      <c r="E3225" s="1058"/>
      <c r="F3225" s="1066"/>
      <c r="G3225" s="1059"/>
      <c r="H3225" s="1067"/>
      <c r="I3225" s="1059"/>
      <c r="J3225" s="1068"/>
      <c r="K3225" s="1064"/>
      <c r="L3225" s="1069"/>
      <c r="M3225" s="1069"/>
      <c r="N3225" s="1069"/>
      <c r="O3225" s="1070"/>
      <c r="P3225" s="1071"/>
      <c r="Q3225" s="1058"/>
      <c r="R3225" s="1063"/>
    </row>
    <row r="3226" spans="1:18" s="90" customFormat="1">
      <c r="A3226" s="1058"/>
      <c r="B3226" s="1064"/>
      <c r="C3226" s="1065"/>
      <c r="D3226" s="1065"/>
      <c r="E3226" s="1058"/>
      <c r="F3226" s="1066"/>
      <c r="G3226" s="1059"/>
      <c r="H3226" s="1067"/>
      <c r="I3226" s="1059"/>
      <c r="J3226" s="1068"/>
      <c r="K3226" s="1064"/>
      <c r="L3226" s="1069"/>
      <c r="M3226" s="1069"/>
      <c r="N3226" s="1069"/>
      <c r="O3226" s="1070"/>
      <c r="P3226" s="1071"/>
      <c r="Q3226" s="1058"/>
      <c r="R3226" s="1063"/>
    </row>
    <row r="3227" spans="1:18" s="90" customFormat="1">
      <c r="A3227" s="1058"/>
      <c r="B3227" s="1064"/>
      <c r="C3227" s="1065"/>
      <c r="D3227" s="1065"/>
      <c r="E3227" s="1058"/>
      <c r="F3227" s="1066"/>
      <c r="G3227" s="1059"/>
      <c r="H3227" s="1067"/>
      <c r="I3227" s="1059"/>
      <c r="J3227" s="1068"/>
      <c r="K3227" s="1064"/>
      <c r="L3227" s="1069"/>
      <c r="M3227" s="1069"/>
      <c r="N3227" s="1069"/>
      <c r="O3227" s="1070"/>
      <c r="P3227" s="1071"/>
      <c r="Q3227" s="1058"/>
      <c r="R3227" s="1063"/>
    </row>
    <row r="3228" spans="1:18" s="90" customFormat="1">
      <c r="A3228" s="1058"/>
      <c r="B3228" s="1064"/>
      <c r="C3228" s="1065"/>
      <c r="D3228" s="1065"/>
      <c r="E3228" s="1058"/>
      <c r="F3228" s="1066"/>
      <c r="G3228" s="1059"/>
      <c r="H3228" s="1067"/>
      <c r="I3228" s="1059"/>
      <c r="J3228" s="1068"/>
      <c r="K3228" s="1064"/>
      <c r="L3228" s="1069"/>
      <c r="M3228" s="1069"/>
      <c r="N3228" s="1069"/>
      <c r="O3228" s="1070"/>
      <c r="P3228" s="1071"/>
      <c r="Q3228" s="1058"/>
      <c r="R3228" s="1063"/>
    </row>
    <row r="3229" spans="1:18" s="90" customFormat="1">
      <c r="A3229" s="1058"/>
      <c r="B3229" s="1064"/>
      <c r="C3229" s="1065"/>
      <c r="D3229" s="1065"/>
      <c r="E3229" s="1058"/>
      <c r="F3229" s="1066"/>
      <c r="G3229" s="1059"/>
      <c r="H3229" s="1067"/>
      <c r="I3229" s="1059"/>
      <c r="J3229" s="1068"/>
      <c r="K3229" s="1064"/>
      <c r="L3229" s="1069"/>
      <c r="M3229" s="1069"/>
      <c r="N3229" s="1069"/>
      <c r="O3229" s="1070"/>
      <c r="P3229" s="1071"/>
      <c r="Q3229" s="1058"/>
      <c r="R3229" s="1063"/>
    </row>
    <row r="3230" spans="1:18" s="90" customFormat="1">
      <c r="A3230" s="1058"/>
      <c r="B3230" s="1064"/>
      <c r="C3230" s="1065"/>
      <c r="D3230" s="1065"/>
      <c r="E3230" s="1058"/>
      <c r="F3230" s="1066"/>
      <c r="G3230" s="1059"/>
      <c r="H3230" s="1067"/>
      <c r="I3230" s="1059"/>
      <c r="J3230" s="1068"/>
      <c r="K3230" s="1064"/>
      <c r="L3230" s="1069"/>
      <c r="M3230" s="1069"/>
      <c r="N3230" s="1069"/>
      <c r="O3230" s="1070"/>
      <c r="P3230" s="1071"/>
      <c r="Q3230" s="1058"/>
      <c r="R3230" s="1063"/>
    </row>
    <row r="3231" spans="1:18" s="90" customFormat="1">
      <c r="A3231" s="1058"/>
      <c r="B3231" s="1064"/>
      <c r="C3231" s="1065"/>
      <c r="D3231" s="1065"/>
      <c r="E3231" s="1058"/>
      <c r="F3231" s="1066"/>
      <c r="G3231" s="1059"/>
      <c r="H3231" s="1067"/>
      <c r="I3231" s="1059"/>
      <c r="J3231" s="1068"/>
      <c r="K3231" s="1064"/>
      <c r="L3231" s="1069"/>
      <c r="M3231" s="1069"/>
      <c r="N3231" s="1069"/>
      <c r="O3231" s="1070"/>
      <c r="P3231" s="1071"/>
      <c r="Q3231" s="1058"/>
      <c r="R3231" s="1063"/>
    </row>
    <row r="3232" spans="1:18" s="90" customFormat="1">
      <c r="A3232" s="1058"/>
      <c r="B3232" s="1064"/>
      <c r="C3232" s="1065"/>
      <c r="D3232" s="1065"/>
      <c r="E3232" s="1058"/>
      <c r="F3232" s="1066"/>
      <c r="G3232" s="1059"/>
      <c r="H3232" s="1067"/>
      <c r="I3232" s="1059"/>
      <c r="J3232" s="1068"/>
      <c r="K3232" s="1064"/>
      <c r="L3232" s="1069"/>
      <c r="M3232" s="1069"/>
      <c r="N3232" s="1069"/>
      <c r="O3232" s="1070"/>
      <c r="P3232" s="1071"/>
      <c r="Q3232" s="1058"/>
      <c r="R3232" s="1063"/>
    </row>
    <row r="3233" spans="1:18" s="90" customFormat="1">
      <c r="A3233" s="1058"/>
      <c r="B3233" s="1064"/>
      <c r="C3233" s="1065"/>
      <c r="D3233" s="1065"/>
      <c r="E3233" s="1058"/>
      <c r="F3233" s="1066"/>
      <c r="G3233" s="1059"/>
      <c r="H3233" s="1067"/>
      <c r="I3233" s="1059"/>
      <c r="J3233" s="1068"/>
      <c r="K3233" s="1064"/>
      <c r="L3233" s="1069"/>
      <c r="M3233" s="1069"/>
      <c r="N3233" s="1069"/>
      <c r="O3233" s="1070"/>
      <c r="P3233" s="1071"/>
      <c r="Q3233" s="1058"/>
      <c r="R3233" s="1063"/>
    </row>
    <row r="3234" spans="1:18" s="90" customFormat="1">
      <c r="A3234" s="1058"/>
      <c r="B3234" s="1064"/>
      <c r="C3234" s="1065"/>
      <c r="D3234" s="1065"/>
      <c r="E3234" s="1058"/>
      <c r="F3234" s="1066"/>
      <c r="G3234" s="1059"/>
      <c r="H3234" s="1067"/>
      <c r="I3234" s="1059"/>
      <c r="J3234" s="1068"/>
      <c r="K3234" s="1064"/>
      <c r="L3234" s="1069"/>
      <c r="M3234" s="1069"/>
      <c r="N3234" s="1069"/>
      <c r="O3234" s="1070"/>
      <c r="P3234" s="1071"/>
      <c r="Q3234" s="1058"/>
      <c r="R3234" s="1063"/>
    </row>
    <row r="3235" spans="1:18" s="90" customFormat="1">
      <c r="A3235" s="1058"/>
      <c r="B3235" s="1064"/>
      <c r="C3235" s="1065"/>
      <c r="D3235" s="1065"/>
      <c r="E3235" s="1058"/>
      <c r="F3235" s="1066"/>
      <c r="G3235" s="1059"/>
      <c r="H3235" s="1067"/>
      <c r="I3235" s="1059"/>
      <c r="J3235" s="1068"/>
      <c r="K3235" s="1064"/>
      <c r="L3235" s="1069"/>
      <c r="M3235" s="1069"/>
      <c r="N3235" s="1069"/>
      <c r="O3235" s="1070"/>
      <c r="P3235" s="1071"/>
      <c r="Q3235" s="1058"/>
      <c r="R3235" s="1063"/>
    </row>
    <row r="3236" spans="1:18" s="90" customFormat="1">
      <c r="A3236" s="1058"/>
      <c r="B3236" s="1064"/>
      <c r="C3236" s="1065"/>
      <c r="D3236" s="1065"/>
      <c r="E3236" s="1058"/>
      <c r="F3236" s="1066"/>
      <c r="G3236" s="1059"/>
      <c r="H3236" s="1067"/>
      <c r="I3236" s="1059"/>
      <c r="J3236" s="1068"/>
      <c r="K3236" s="1064"/>
      <c r="L3236" s="1069"/>
      <c r="M3236" s="1069"/>
      <c r="N3236" s="1069"/>
      <c r="O3236" s="1070"/>
      <c r="P3236" s="1071"/>
      <c r="Q3236" s="1058"/>
      <c r="R3236" s="1063"/>
    </row>
    <row r="3237" spans="1:18" s="90" customFormat="1">
      <c r="A3237" s="1058"/>
      <c r="B3237" s="1064"/>
      <c r="C3237" s="1065"/>
      <c r="D3237" s="1065"/>
      <c r="E3237" s="1058"/>
      <c r="F3237" s="1066"/>
      <c r="G3237" s="1059"/>
      <c r="H3237" s="1067"/>
      <c r="I3237" s="1059"/>
      <c r="J3237" s="1068"/>
      <c r="K3237" s="1064"/>
      <c r="L3237" s="1069"/>
      <c r="M3237" s="1069"/>
      <c r="N3237" s="1069"/>
      <c r="O3237" s="1070"/>
      <c r="P3237" s="1071"/>
      <c r="Q3237" s="1058"/>
      <c r="R3237" s="1063"/>
    </row>
    <row r="3238" spans="1:18" s="90" customFormat="1">
      <c r="A3238" s="1058"/>
      <c r="B3238" s="1064"/>
      <c r="C3238" s="1065"/>
      <c r="D3238" s="1065"/>
      <c r="E3238" s="1058"/>
      <c r="F3238" s="1066"/>
      <c r="G3238" s="1059"/>
      <c r="H3238" s="1067"/>
      <c r="I3238" s="1059"/>
      <c r="J3238" s="1068"/>
      <c r="K3238" s="1064"/>
      <c r="L3238" s="1069"/>
      <c r="M3238" s="1069"/>
      <c r="N3238" s="1069"/>
      <c r="O3238" s="1070"/>
      <c r="P3238" s="1071"/>
      <c r="Q3238" s="1058"/>
      <c r="R3238" s="1063"/>
    </row>
    <row r="3239" spans="1:18" s="90" customFormat="1">
      <c r="A3239" s="1058"/>
      <c r="B3239" s="1064"/>
      <c r="C3239" s="1065"/>
      <c r="D3239" s="1065"/>
      <c r="E3239" s="1058"/>
      <c r="F3239" s="1066"/>
      <c r="G3239" s="1059"/>
      <c r="H3239" s="1067"/>
      <c r="I3239" s="1059"/>
      <c r="J3239" s="1068"/>
      <c r="K3239" s="1064"/>
      <c r="L3239" s="1069"/>
      <c r="M3239" s="1069"/>
      <c r="N3239" s="1069"/>
      <c r="O3239" s="1070"/>
      <c r="P3239" s="1071"/>
      <c r="Q3239" s="1058"/>
      <c r="R3239" s="1063"/>
    </row>
    <row r="3240" spans="1:18" s="90" customFormat="1">
      <c r="A3240" s="1058"/>
      <c r="B3240" s="1064"/>
      <c r="C3240" s="1065"/>
      <c r="D3240" s="1065"/>
      <c r="E3240" s="1058"/>
      <c r="F3240" s="1066"/>
      <c r="G3240" s="1059"/>
      <c r="H3240" s="1067"/>
      <c r="I3240" s="1059"/>
      <c r="J3240" s="1068"/>
      <c r="K3240" s="1064"/>
      <c r="L3240" s="1069"/>
      <c r="M3240" s="1069"/>
      <c r="N3240" s="1069"/>
      <c r="O3240" s="1070"/>
      <c r="P3240" s="1071"/>
      <c r="Q3240" s="1058"/>
      <c r="R3240" s="1063"/>
    </row>
    <row r="3241" spans="1:18" s="90" customFormat="1">
      <c r="A3241" s="1058"/>
      <c r="B3241" s="1064"/>
      <c r="C3241" s="1065"/>
      <c r="D3241" s="1065"/>
      <c r="E3241" s="1058"/>
      <c r="F3241" s="1066"/>
      <c r="G3241" s="1059"/>
      <c r="H3241" s="1067"/>
      <c r="I3241" s="1059"/>
      <c r="J3241" s="1068"/>
      <c r="K3241" s="1064"/>
      <c r="L3241" s="1069"/>
      <c r="M3241" s="1069"/>
      <c r="N3241" s="1069"/>
      <c r="O3241" s="1070"/>
      <c r="P3241" s="1071"/>
      <c r="Q3241" s="1058"/>
      <c r="R3241" s="1063"/>
    </row>
    <row r="3242" spans="1:18" s="90" customFormat="1">
      <c r="A3242" s="1058"/>
      <c r="B3242" s="1064"/>
      <c r="C3242" s="1065"/>
      <c r="D3242" s="1065"/>
      <c r="E3242" s="1058"/>
      <c r="F3242" s="1066"/>
      <c r="G3242" s="1059"/>
      <c r="H3242" s="1067"/>
      <c r="I3242" s="1059"/>
      <c r="J3242" s="1068"/>
      <c r="K3242" s="1064"/>
      <c r="L3242" s="1069"/>
      <c r="M3242" s="1069"/>
      <c r="N3242" s="1069"/>
      <c r="O3242" s="1070"/>
      <c r="P3242" s="1071"/>
      <c r="Q3242" s="1058"/>
      <c r="R3242" s="1063"/>
    </row>
    <row r="3243" spans="1:18" s="90" customFormat="1">
      <c r="A3243" s="1058"/>
      <c r="B3243" s="1064"/>
      <c r="C3243" s="1065"/>
      <c r="D3243" s="1065"/>
      <c r="E3243" s="1058"/>
      <c r="F3243" s="1066"/>
      <c r="G3243" s="1059"/>
      <c r="H3243" s="1067"/>
      <c r="I3243" s="1059"/>
      <c r="J3243" s="1068"/>
      <c r="K3243" s="1064"/>
      <c r="L3243" s="1069"/>
      <c r="M3243" s="1069"/>
      <c r="N3243" s="1069"/>
      <c r="O3243" s="1070"/>
      <c r="P3243" s="1071"/>
      <c r="Q3243" s="1058"/>
      <c r="R3243" s="1063"/>
    </row>
    <row r="3244" spans="1:18" s="90" customFormat="1">
      <c r="A3244" s="1058"/>
      <c r="B3244" s="1064"/>
      <c r="C3244" s="1065"/>
      <c r="D3244" s="1065"/>
      <c r="E3244" s="1058"/>
      <c r="F3244" s="1066"/>
      <c r="G3244" s="1059"/>
      <c r="H3244" s="1067"/>
      <c r="I3244" s="1059"/>
      <c r="J3244" s="1068"/>
      <c r="K3244" s="1064"/>
      <c r="L3244" s="1069"/>
      <c r="M3244" s="1069"/>
      <c r="N3244" s="1069"/>
      <c r="O3244" s="1070"/>
      <c r="P3244" s="1071"/>
      <c r="Q3244" s="1058"/>
      <c r="R3244" s="1063"/>
    </row>
    <row r="3245" spans="1:18" s="90" customFormat="1">
      <c r="A3245" s="1058"/>
      <c r="B3245" s="1064"/>
      <c r="C3245" s="1065"/>
      <c r="D3245" s="1065"/>
      <c r="E3245" s="1058"/>
      <c r="F3245" s="1066"/>
      <c r="G3245" s="1059"/>
      <c r="H3245" s="1067"/>
      <c r="I3245" s="1059"/>
      <c r="J3245" s="1068"/>
      <c r="K3245" s="1064"/>
      <c r="L3245" s="1069"/>
      <c r="M3245" s="1069"/>
      <c r="N3245" s="1069"/>
      <c r="O3245" s="1070"/>
      <c r="P3245" s="1071"/>
      <c r="Q3245" s="1058"/>
      <c r="R3245" s="1063"/>
    </row>
    <row r="3246" spans="1:18" s="90" customFormat="1">
      <c r="A3246" s="1058"/>
      <c r="B3246" s="1064"/>
      <c r="C3246" s="1065"/>
      <c r="D3246" s="1065"/>
      <c r="E3246" s="1058"/>
      <c r="F3246" s="1066"/>
      <c r="G3246" s="1059"/>
      <c r="H3246" s="1067"/>
      <c r="I3246" s="1059"/>
      <c r="J3246" s="1068"/>
      <c r="K3246" s="1064"/>
      <c r="L3246" s="1069"/>
      <c r="M3246" s="1069"/>
      <c r="N3246" s="1069"/>
      <c r="O3246" s="1070"/>
      <c r="P3246" s="1071"/>
      <c r="Q3246" s="1058"/>
      <c r="R3246" s="1063"/>
    </row>
    <row r="3247" spans="1:18" s="90" customFormat="1">
      <c r="A3247" s="1058"/>
      <c r="B3247" s="1064"/>
      <c r="C3247" s="1065"/>
      <c r="D3247" s="1065"/>
      <c r="E3247" s="1058"/>
      <c r="F3247" s="1066"/>
      <c r="G3247" s="1059"/>
      <c r="H3247" s="1067"/>
      <c r="I3247" s="1059"/>
      <c r="J3247" s="1068"/>
      <c r="K3247" s="1064"/>
      <c r="L3247" s="1069"/>
      <c r="M3247" s="1069"/>
      <c r="N3247" s="1069"/>
      <c r="O3247" s="1070"/>
      <c r="P3247" s="1071"/>
      <c r="Q3247" s="1058"/>
      <c r="R3247" s="1063"/>
    </row>
    <row r="3248" spans="1:18" s="90" customFormat="1">
      <c r="A3248" s="1058"/>
      <c r="B3248" s="1064"/>
      <c r="C3248" s="1065"/>
      <c r="D3248" s="1065"/>
      <c r="E3248" s="1058"/>
      <c r="F3248" s="1066"/>
      <c r="G3248" s="1059"/>
      <c r="H3248" s="1067"/>
      <c r="I3248" s="1059"/>
      <c r="J3248" s="1068"/>
      <c r="K3248" s="1064"/>
      <c r="L3248" s="1069"/>
      <c r="M3248" s="1069"/>
      <c r="N3248" s="1069"/>
      <c r="O3248" s="1070"/>
      <c r="P3248" s="1071"/>
      <c r="Q3248" s="1058"/>
      <c r="R3248" s="1063"/>
    </row>
    <row r="3249" spans="1:18" s="90" customFormat="1">
      <c r="A3249" s="1058"/>
      <c r="B3249" s="1064"/>
      <c r="C3249" s="1065"/>
      <c r="D3249" s="1065"/>
      <c r="E3249" s="1058"/>
      <c r="F3249" s="1066"/>
      <c r="G3249" s="1059"/>
      <c r="H3249" s="1067"/>
      <c r="I3249" s="1059"/>
      <c r="J3249" s="1068"/>
      <c r="K3249" s="1064"/>
      <c r="L3249" s="1069"/>
      <c r="M3249" s="1069"/>
      <c r="N3249" s="1069"/>
      <c r="O3249" s="1070"/>
      <c r="P3249" s="1071"/>
      <c r="Q3249" s="1058"/>
      <c r="R3249" s="1063"/>
    </row>
    <row r="3250" spans="1:18" s="90" customFormat="1">
      <c r="A3250" s="1058"/>
      <c r="B3250" s="1064"/>
      <c r="C3250" s="1065"/>
      <c r="D3250" s="1065"/>
      <c r="E3250" s="1058"/>
      <c r="F3250" s="1066"/>
      <c r="G3250" s="1059"/>
      <c r="H3250" s="1067"/>
      <c r="I3250" s="1059"/>
      <c r="J3250" s="1068"/>
      <c r="K3250" s="1064"/>
      <c r="L3250" s="1069"/>
      <c r="M3250" s="1069"/>
      <c r="N3250" s="1069"/>
      <c r="O3250" s="1070"/>
      <c r="P3250" s="1071"/>
      <c r="Q3250" s="1058"/>
      <c r="R3250" s="1063"/>
    </row>
    <row r="3251" spans="1:18" s="90" customFormat="1">
      <c r="A3251" s="1058"/>
      <c r="B3251" s="1064"/>
      <c r="C3251" s="1065"/>
      <c r="D3251" s="1065"/>
      <c r="E3251" s="1058"/>
      <c r="F3251" s="1066"/>
      <c r="G3251" s="1059"/>
      <c r="H3251" s="1067"/>
      <c r="I3251" s="1059"/>
      <c r="J3251" s="1068"/>
      <c r="K3251" s="1064"/>
      <c r="L3251" s="1069"/>
      <c r="M3251" s="1069"/>
      <c r="N3251" s="1069"/>
      <c r="O3251" s="1070"/>
      <c r="P3251" s="1071"/>
      <c r="Q3251" s="1058"/>
      <c r="R3251" s="1063"/>
    </row>
    <row r="3252" spans="1:18" s="90" customFormat="1">
      <c r="A3252" s="1058"/>
      <c r="B3252" s="1064"/>
      <c r="C3252" s="1065"/>
      <c r="D3252" s="1065"/>
      <c r="E3252" s="1058"/>
      <c r="F3252" s="1066"/>
      <c r="G3252" s="1059"/>
      <c r="H3252" s="1067"/>
      <c r="I3252" s="1059"/>
      <c r="J3252" s="1068"/>
      <c r="K3252" s="1064"/>
      <c r="L3252" s="1069"/>
      <c r="M3252" s="1069"/>
      <c r="N3252" s="1069"/>
      <c r="O3252" s="1070"/>
      <c r="P3252" s="1071"/>
      <c r="Q3252" s="1058"/>
      <c r="R3252" s="1063"/>
    </row>
    <row r="3253" spans="1:18" s="90" customFormat="1">
      <c r="A3253" s="1058"/>
      <c r="B3253" s="1064"/>
      <c r="C3253" s="1065"/>
      <c r="D3253" s="1065"/>
      <c r="E3253" s="1058"/>
      <c r="F3253" s="1066"/>
      <c r="G3253" s="1059"/>
      <c r="H3253" s="1067"/>
      <c r="I3253" s="1059"/>
      <c r="J3253" s="1068"/>
      <c r="K3253" s="1064"/>
      <c r="L3253" s="1069"/>
      <c r="M3253" s="1069"/>
      <c r="N3253" s="1069"/>
      <c r="O3253" s="1070"/>
      <c r="P3253" s="1071"/>
      <c r="Q3253" s="1058"/>
      <c r="R3253" s="1063"/>
    </row>
    <row r="3254" spans="1:18" s="90" customFormat="1">
      <c r="A3254" s="1058"/>
      <c r="B3254" s="1064"/>
      <c r="C3254" s="1065"/>
      <c r="D3254" s="1065"/>
      <c r="E3254" s="1058"/>
      <c r="F3254" s="1066"/>
      <c r="G3254" s="1059"/>
      <c r="H3254" s="1067"/>
      <c r="I3254" s="1059"/>
      <c r="J3254" s="1068"/>
      <c r="K3254" s="1064"/>
      <c r="L3254" s="1069"/>
      <c r="M3254" s="1069"/>
      <c r="N3254" s="1069"/>
      <c r="O3254" s="1070"/>
      <c r="P3254" s="1071"/>
      <c r="Q3254" s="1058"/>
      <c r="R3254" s="1063"/>
    </row>
    <row r="3255" spans="1:18" s="90" customFormat="1">
      <c r="A3255" s="1058"/>
      <c r="B3255" s="1064"/>
      <c r="C3255" s="1065"/>
      <c r="D3255" s="1065"/>
      <c r="E3255" s="1058"/>
      <c r="F3255" s="1066"/>
      <c r="G3255" s="1059"/>
      <c r="H3255" s="1067"/>
      <c r="I3255" s="1059"/>
      <c r="J3255" s="1068"/>
      <c r="K3255" s="1064"/>
      <c r="L3255" s="1069"/>
      <c r="M3255" s="1069"/>
      <c r="N3255" s="1069"/>
      <c r="O3255" s="1070"/>
      <c r="P3255" s="1071"/>
      <c r="Q3255" s="1058"/>
      <c r="R3255" s="1063"/>
    </row>
    <row r="3256" spans="1:18" s="90" customFormat="1">
      <c r="A3256" s="1058"/>
      <c r="B3256" s="1064"/>
      <c r="C3256" s="1065"/>
      <c r="D3256" s="1065"/>
      <c r="E3256" s="1058"/>
      <c r="F3256" s="1066"/>
      <c r="G3256" s="1059"/>
      <c r="H3256" s="1067"/>
      <c r="I3256" s="1059"/>
      <c r="J3256" s="1068"/>
      <c r="K3256" s="1064"/>
      <c r="L3256" s="1069"/>
      <c r="M3256" s="1069"/>
      <c r="N3256" s="1069"/>
      <c r="O3256" s="1070"/>
      <c r="P3256" s="1071"/>
      <c r="Q3256" s="1058"/>
      <c r="R3256" s="1063"/>
    </row>
    <row r="3257" spans="1:18" s="90" customFormat="1">
      <c r="A3257" s="1058"/>
      <c r="B3257" s="1064"/>
      <c r="C3257" s="1065"/>
      <c r="D3257" s="1065"/>
      <c r="E3257" s="1058"/>
      <c r="F3257" s="1066"/>
      <c r="G3257" s="1059"/>
      <c r="H3257" s="1067"/>
      <c r="I3257" s="1059"/>
      <c r="J3257" s="1068"/>
      <c r="K3257" s="1064"/>
      <c r="L3257" s="1069"/>
      <c r="M3257" s="1069"/>
      <c r="N3257" s="1069"/>
      <c r="O3257" s="1070"/>
      <c r="P3257" s="1071"/>
      <c r="Q3257" s="1058"/>
      <c r="R3257" s="1063"/>
    </row>
    <row r="3258" spans="1:18" s="90" customFormat="1">
      <c r="A3258" s="1058"/>
      <c r="B3258" s="1064"/>
      <c r="C3258" s="1065"/>
      <c r="D3258" s="1065"/>
      <c r="E3258" s="1058"/>
      <c r="F3258" s="1066"/>
      <c r="G3258" s="1059"/>
      <c r="H3258" s="1067"/>
      <c r="I3258" s="1059"/>
      <c r="J3258" s="1068"/>
      <c r="K3258" s="1064"/>
      <c r="L3258" s="1069"/>
      <c r="M3258" s="1069"/>
      <c r="N3258" s="1069"/>
      <c r="O3258" s="1070"/>
      <c r="P3258" s="1071"/>
      <c r="Q3258" s="1058"/>
      <c r="R3258" s="1063"/>
    </row>
    <row r="3259" spans="1:18" s="90" customFormat="1">
      <c r="A3259" s="1058"/>
      <c r="B3259" s="1064"/>
      <c r="C3259" s="1065"/>
      <c r="D3259" s="1065"/>
      <c r="E3259" s="1058"/>
      <c r="F3259" s="1066"/>
      <c r="G3259" s="1059"/>
      <c r="H3259" s="1067"/>
      <c r="I3259" s="1059"/>
      <c r="J3259" s="1068"/>
      <c r="K3259" s="1064"/>
      <c r="L3259" s="1069"/>
      <c r="M3259" s="1069"/>
      <c r="N3259" s="1069"/>
      <c r="O3259" s="1070"/>
      <c r="P3259" s="1071"/>
      <c r="Q3259" s="1058"/>
      <c r="R3259" s="1063"/>
    </row>
    <row r="3260" spans="1:18" s="90" customFormat="1">
      <c r="A3260" s="1058"/>
      <c r="B3260" s="1064"/>
      <c r="C3260" s="1065"/>
      <c r="D3260" s="1065"/>
      <c r="E3260" s="1058"/>
      <c r="F3260" s="1066"/>
      <c r="G3260" s="1059"/>
      <c r="H3260" s="1067"/>
      <c r="I3260" s="1059"/>
      <c r="J3260" s="1068"/>
      <c r="K3260" s="1064"/>
      <c r="L3260" s="1069"/>
      <c r="M3260" s="1069"/>
      <c r="N3260" s="1069"/>
      <c r="O3260" s="1070"/>
      <c r="P3260" s="1071"/>
      <c r="Q3260" s="1058"/>
      <c r="R3260" s="1063"/>
    </row>
    <row r="3261" spans="1:18" s="90" customFormat="1">
      <c r="A3261" s="1058"/>
      <c r="B3261" s="1064"/>
      <c r="C3261" s="1065"/>
      <c r="D3261" s="1065"/>
      <c r="E3261" s="1058"/>
      <c r="F3261" s="1066"/>
      <c r="G3261" s="1059"/>
      <c r="H3261" s="1067"/>
      <c r="I3261" s="1059"/>
      <c r="J3261" s="1068"/>
      <c r="K3261" s="1064"/>
      <c r="L3261" s="1069"/>
      <c r="M3261" s="1069"/>
      <c r="N3261" s="1069"/>
      <c r="O3261" s="1070"/>
      <c r="P3261" s="1071"/>
      <c r="Q3261" s="1058"/>
      <c r="R3261" s="1063"/>
    </row>
    <row r="3262" spans="1:18" s="90" customFormat="1">
      <c r="A3262" s="1058"/>
      <c r="B3262" s="1064"/>
      <c r="C3262" s="1065"/>
      <c r="D3262" s="1065"/>
      <c r="E3262" s="1058"/>
      <c r="F3262" s="1066"/>
      <c r="G3262" s="1059"/>
      <c r="H3262" s="1067"/>
      <c r="I3262" s="1059"/>
      <c r="J3262" s="1068"/>
      <c r="K3262" s="1064"/>
      <c r="L3262" s="1069"/>
      <c r="M3262" s="1069"/>
      <c r="N3262" s="1069"/>
      <c r="O3262" s="1070"/>
      <c r="P3262" s="1071"/>
      <c r="Q3262" s="1058"/>
      <c r="R3262" s="1063"/>
    </row>
    <row r="3263" spans="1:18" s="90" customFormat="1">
      <c r="A3263" s="1058"/>
      <c r="B3263" s="1064"/>
      <c r="C3263" s="1065"/>
      <c r="D3263" s="1065"/>
      <c r="E3263" s="1058"/>
      <c r="F3263" s="1066"/>
      <c r="G3263" s="1059"/>
      <c r="H3263" s="1067"/>
      <c r="I3263" s="1059"/>
      <c r="J3263" s="1068"/>
      <c r="K3263" s="1064"/>
      <c r="L3263" s="1069"/>
      <c r="M3263" s="1069"/>
      <c r="N3263" s="1069"/>
      <c r="O3263" s="1070"/>
      <c r="P3263" s="1071"/>
      <c r="Q3263" s="1058"/>
      <c r="R3263" s="1063"/>
    </row>
    <row r="3264" spans="1:18" s="90" customFormat="1">
      <c r="A3264" s="1058"/>
      <c r="B3264" s="1064"/>
      <c r="C3264" s="1065"/>
      <c r="D3264" s="1065"/>
      <c r="E3264" s="1058"/>
      <c r="F3264" s="1066"/>
      <c r="G3264" s="1059"/>
      <c r="H3264" s="1067"/>
      <c r="I3264" s="1059"/>
      <c r="J3264" s="1068"/>
      <c r="K3264" s="1064"/>
      <c r="L3264" s="1069"/>
      <c r="M3264" s="1069"/>
      <c r="N3264" s="1069"/>
      <c r="O3264" s="1070"/>
      <c r="P3264" s="1071"/>
      <c r="Q3264" s="1058"/>
      <c r="R3264" s="1063"/>
    </row>
    <row r="3265" spans="1:18">
      <c r="A3265" s="1058" t="s">
        <v>667</v>
      </c>
      <c r="B3265" s="1064">
        <f>+G412</f>
        <v>388680</v>
      </c>
      <c r="C3265" s="1058"/>
      <c r="D3265" s="1058"/>
      <c r="E3265" s="1058">
        <f>+E3185+1</f>
        <v>14</v>
      </c>
      <c r="F3265" s="1066"/>
      <c r="G3265" s="1059" t="s">
        <v>527</v>
      </c>
      <c r="H3265" s="1067">
        <f>+H3185</f>
        <v>44181</v>
      </c>
      <c r="I3265" s="1059">
        <f>+I3185</f>
        <v>450</v>
      </c>
      <c r="J3265" s="1068">
        <f t="shared" si="90"/>
        <v>44631</v>
      </c>
      <c r="K3265" s="1064">
        <f t="shared" ref="K3265:K3746" si="91">+B3265</f>
        <v>388680</v>
      </c>
      <c r="L3265" s="1069">
        <v>1</v>
      </c>
      <c r="M3265" s="1069">
        <f t="shared" ref="M3265:M3639" si="92">+K3265*L3265/100</f>
        <v>3886.8</v>
      </c>
      <c r="N3265" s="1069">
        <f>+K3265+M3265</f>
        <v>392566.8</v>
      </c>
      <c r="O3265" s="1070">
        <f ca="1">IF(+TODAY()&gt;=J3265,0,1.03)</f>
        <v>1.03</v>
      </c>
      <c r="P3265" s="1071">
        <f ca="1">+O3265</f>
        <v>1.03</v>
      </c>
      <c r="Q3265" s="1058"/>
      <c r="R3265" s="1063"/>
    </row>
    <row r="3266" spans="1:18" s="90" customFormat="1">
      <c r="A3266" s="1058"/>
      <c r="B3266" s="1064"/>
      <c r="C3266" s="1058"/>
      <c r="D3266" s="1058"/>
      <c r="E3266" s="1058"/>
      <c r="F3266" s="1066"/>
      <c r="G3266" s="1059"/>
      <c r="H3266" s="1067"/>
      <c r="I3266" s="1059"/>
      <c r="J3266" s="1068"/>
      <c r="K3266" s="1064"/>
      <c r="L3266" s="1069"/>
      <c r="M3266" s="1069"/>
      <c r="N3266" s="1069"/>
      <c r="O3266" s="1070"/>
      <c r="P3266" s="1071"/>
      <c r="Q3266" s="1058"/>
      <c r="R3266" s="1063"/>
    </row>
    <row r="3267" spans="1:18" s="90" customFormat="1">
      <c r="A3267" s="1058"/>
      <c r="B3267" s="1064"/>
      <c r="C3267" s="1058"/>
      <c r="D3267" s="1058"/>
      <c r="E3267" s="1058"/>
      <c r="F3267" s="1066"/>
      <c r="G3267" s="1059"/>
      <c r="H3267" s="1067"/>
      <c r="I3267" s="1059"/>
      <c r="J3267" s="1068"/>
      <c r="K3267" s="1064"/>
      <c r="L3267" s="1069"/>
      <c r="M3267" s="1069"/>
      <c r="N3267" s="1069"/>
      <c r="O3267" s="1070"/>
      <c r="P3267" s="1071"/>
      <c r="Q3267" s="1058"/>
      <c r="R3267" s="1063"/>
    </row>
    <row r="3268" spans="1:18" s="90" customFormat="1">
      <c r="A3268" s="1058"/>
      <c r="B3268" s="1064"/>
      <c r="C3268" s="1058"/>
      <c r="D3268" s="1058"/>
      <c r="E3268" s="1058"/>
      <c r="F3268" s="1066"/>
      <c r="G3268" s="1059"/>
      <c r="H3268" s="1067"/>
      <c r="I3268" s="1059"/>
      <c r="J3268" s="1068"/>
      <c r="K3268" s="1064"/>
      <c r="L3268" s="1069"/>
      <c r="M3268" s="1069"/>
      <c r="N3268" s="1069"/>
      <c r="O3268" s="1070"/>
      <c r="P3268" s="1071"/>
      <c r="Q3268" s="1058"/>
      <c r="R3268" s="1063"/>
    </row>
    <row r="3269" spans="1:18" s="90" customFormat="1">
      <c r="A3269" s="1058"/>
      <c r="B3269" s="1064"/>
      <c r="C3269" s="1058"/>
      <c r="D3269" s="1058"/>
      <c r="E3269" s="1058"/>
      <c r="F3269" s="1066"/>
      <c r="G3269" s="1059"/>
      <c r="H3269" s="1067"/>
      <c r="I3269" s="1059"/>
      <c r="J3269" s="1068"/>
      <c r="K3269" s="1064"/>
      <c r="L3269" s="1069"/>
      <c r="M3269" s="1069"/>
      <c r="N3269" s="1069"/>
      <c r="O3269" s="1070"/>
      <c r="P3269" s="1071"/>
      <c r="Q3269" s="1058"/>
      <c r="R3269" s="1063"/>
    </row>
    <row r="3270" spans="1:18" s="90" customFormat="1">
      <c r="A3270" s="1058"/>
      <c r="B3270" s="1064"/>
      <c r="C3270" s="1058"/>
      <c r="D3270" s="1058"/>
      <c r="E3270" s="1058"/>
      <c r="F3270" s="1066"/>
      <c r="G3270" s="1059"/>
      <c r="H3270" s="1067"/>
      <c r="I3270" s="1059"/>
      <c r="J3270" s="1068"/>
      <c r="K3270" s="1064"/>
      <c r="L3270" s="1069"/>
      <c r="M3270" s="1069"/>
      <c r="N3270" s="1069"/>
      <c r="O3270" s="1070"/>
      <c r="P3270" s="1071"/>
      <c r="Q3270" s="1058"/>
      <c r="R3270" s="1063"/>
    </row>
    <row r="3271" spans="1:18" s="90" customFormat="1">
      <c r="A3271" s="1058"/>
      <c r="B3271" s="1064"/>
      <c r="C3271" s="1058"/>
      <c r="D3271" s="1058"/>
      <c r="E3271" s="1058"/>
      <c r="F3271" s="1066"/>
      <c r="G3271" s="1059"/>
      <c r="H3271" s="1067"/>
      <c r="I3271" s="1059"/>
      <c r="J3271" s="1068"/>
      <c r="K3271" s="1064"/>
      <c r="L3271" s="1069"/>
      <c r="M3271" s="1069"/>
      <c r="N3271" s="1069"/>
      <c r="O3271" s="1070"/>
      <c r="P3271" s="1071"/>
      <c r="Q3271" s="1058"/>
      <c r="R3271" s="1063"/>
    </row>
    <row r="3272" spans="1:18" s="90" customFormat="1">
      <c r="A3272" s="1058"/>
      <c r="B3272" s="1064"/>
      <c r="C3272" s="1058"/>
      <c r="D3272" s="1058"/>
      <c r="E3272" s="1058"/>
      <c r="F3272" s="1066"/>
      <c r="G3272" s="1059"/>
      <c r="H3272" s="1067"/>
      <c r="I3272" s="1059"/>
      <c r="J3272" s="1068"/>
      <c r="K3272" s="1064"/>
      <c r="L3272" s="1069"/>
      <c r="M3272" s="1069"/>
      <c r="N3272" s="1069"/>
      <c r="O3272" s="1070"/>
      <c r="P3272" s="1071"/>
      <c r="Q3272" s="1058"/>
      <c r="R3272" s="1063"/>
    </row>
    <row r="3273" spans="1:18" s="90" customFormat="1">
      <c r="A3273" s="1058"/>
      <c r="B3273" s="1064"/>
      <c r="C3273" s="1058"/>
      <c r="D3273" s="1058"/>
      <c r="E3273" s="1058"/>
      <c r="F3273" s="1066"/>
      <c r="G3273" s="1059"/>
      <c r="H3273" s="1067"/>
      <c r="I3273" s="1059"/>
      <c r="J3273" s="1068"/>
      <c r="K3273" s="1064"/>
      <c r="L3273" s="1069"/>
      <c r="M3273" s="1069"/>
      <c r="N3273" s="1069"/>
      <c r="O3273" s="1070"/>
      <c r="P3273" s="1071"/>
      <c r="Q3273" s="1058"/>
      <c r="R3273" s="1063"/>
    </row>
    <row r="3274" spans="1:18" s="90" customFormat="1">
      <c r="A3274" s="1058"/>
      <c r="B3274" s="1064"/>
      <c r="C3274" s="1058"/>
      <c r="D3274" s="1058"/>
      <c r="E3274" s="1058"/>
      <c r="F3274" s="1066"/>
      <c r="G3274" s="1059"/>
      <c r="H3274" s="1067"/>
      <c r="I3274" s="1059"/>
      <c r="J3274" s="1068"/>
      <c r="K3274" s="1064"/>
      <c r="L3274" s="1069"/>
      <c r="M3274" s="1069"/>
      <c r="N3274" s="1069"/>
      <c r="O3274" s="1070"/>
      <c r="P3274" s="1071"/>
      <c r="Q3274" s="1058"/>
      <c r="R3274" s="1063"/>
    </row>
    <row r="3275" spans="1:18" s="90" customFormat="1">
      <c r="A3275" s="1058"/>
      <c r="B3275" s="1064"/>
      <c r="C3275" s="1058"/>
      <c r="D3275" s="1058"/>
      <c r="E3275" s="1058"/>
      <c r="F3275" s="1066"/>
      <c r="G3275" s="1059"/>
      <c r="H3275" s="1067"/>
      <c r="I3275" s="1059"/>
      <c r="J3275" s="1068"/>
      <c r="K3275" s="1064"/>
      <c r="L3275" s="1069"/>
      <c r="M3275" s="1069"/>
      <c r="N3275" s="1069"/>
      <c r="O3275" s="1070"/>
      <c r="P3275" s="1071"/>
      <c r="Q3275" s="1058"/>
      <c r="R3275" s="1063"/>
    </row>
    <row r="3276" spans="1:18" s="90" customFormat="1">
      <c r="A3276" s="1058"/>
      <c r="B3276" s="1064"/>
      <c r="C3276" s="1058"/>
      <c r="D3276" s="1058"/>
      <c r="E3276" s="1058"/>
      <c r="F3276" s="1066"/>
      <c r="G3276" s="1059"/>
      <c r="H3276" s="1067"/>
      <c r="I3276" s="1059"/>
      <c r="J3276" s="1068"/>
      <c r="K3276" s="1064"/>
      <c r="L3276" s="1069"/>
      <c r="M3276" s="1069"/>
      <c r="N3276" s="1069"/>
      <c r="O3276" s="1070"/>
      <c r="P3276" s="1071"/>
      <c r="Q3276" s="1058"/>
      <c r="R3276" s="1063"/>
    </row>
    <row r="3277" spans="1:18" s="90" customFormat="1">
      <c r="A3277" s="1058"/>
      <c r="B3277" s="1064"/>
      <c r="C3277" s="1058"/>
      <c r="D3277" s="1058"/>
      <c r="E3277" s="1058"/>
      <c r="F3277" s="1066"/>
      <c r="G3277" s="1059"/>
      <c r="H3277" s="1067"/>
      <c r="I3277" s="1059"/>
      <c r="J3277" s="1068"/>
      <c r="K3277" s="1064"/>
      <c r="L3277" s="1069"/>
      <c r="M3277" s="1069"/>
      <c r="N3277" s="1069"/>
      <c r="O3277" s="1070"/>
      <c r="P3277" s="1071"/>
      <c r="Q3277" s="1058"/>
      <c r="R3277" s="1063"/>
    </row>
    <row r="3278" spans="1:18" s="90" customFormat="1">
      <c r="A3278" s="1058"/>
      <c r="B3278" s="1064"/>
      <c r="C3278" s="1058"/>
      <c r="D3278" s="1058"/>
      <c r="E3278" s="1058"/>
      <c r="F3278" s="1066"/>
      <c r="G3278" s="1059"/>
      <c r="H3278" s="1067"/>
      <c r="I3278" s="1059"/>
      <c r="J3278" s="1068"/>
      <c r="K3278" s="1064"/>
      <c r="L3278" s="1069"/>
      <c r="M3278" s="1069"/>
      <c r="N3278" s="1069"/>
      <c r="O3278" s="1070"/>
      <c r="P3278" s="1071"/>
      <c r="Q3278" s="1058"/>
      <c r="R3278" s="1063"/>
    </row>
    <row r="3279" spans="1:18" s="90" customFormat="1">
      <c r="A3279" s="1058"/>
      <c r="B3279" s="1064"/>
      <c r="C3279" s="1058"/>
      <c r="D3279" s="1058"/>
      <c r="E3279" s="1058"/>
      <c r="F3279" s="1066"/>
      <c r="G3279" s="1059"/>
      <c r="H3279" s="1067"/>
      <c r="I3279" s="1059"/>
      <c r="J3279" s="1068"/>
      <c r="K3279" s="1064"/>
      <c r="L3279" s="1069"/>
      <c r="M3279" s="1069"/>
      <c r="N3279" s="1069"/>
      <c r="O3279" s="1070"/>
      <c r="P3279" s="1071"/>
      <c r="Q3279" s="1058"/>
      <c r="R3279" s="1063"/>
    </row>
    <row r="3280" spans="1:18" s="90" customFormat="1">
      <c r="A3280" s="1058"/>
      <c r="B3280" s="1064"/>
      <c r="C3280" s="1058"/>
      <c r="D3280" s="1058"/>
      <c r="E3280" s="1058"/>
      <c r="F3280" s="1066"/>
      <c r="G3280" s="1059"/>
      <c r="H3280" s="1067"/>
      <c r="I3280" s="1059"/>
      <c r="J3280" s="1068"/>
      <c r="K3280" s="1064"/>
      <c r="L3280" s="1069"/>
      <c r="M3280" s="1069"/>
      <c r="N3280" s="1069"/>
      <c r="O3280" s="1070"/>
      <c r="P3280" s="1071"/>
      <c r="Q3280" s="1058"/>
      <c r="R3280" s="1063"/>
    </row>
    <row r="3281" spans="1:18" s="90" customFormat="1">
      <c r="A3281" s="1058"/>
      <c r="B3281" s="1064"/>
      <c r="C3281" s="1058"/>
      <c r="D3281" s="1058"/>
      <c r="E3281" s="1058"/>
      <c r="F3281" s="1066"/>
      <c r="G3281" s="1059"/>
      <c r="H3281" s="1067"/>
      <c r="I3281" s="1059"/>
      <c r="J3281" s="1068"/>
      <c r="K3281" s="1064"/>
      <c r="L3281" s="1069"/>
      <c r="M3281" s="1069"/>
      <c r="N3281" s="1069"/>
      <c r="O3281" s="1070"/>
      <c r="P3281" s="1071"/>
      <c r="Q3281" s="1058"/>
      <c r="R3281" s="1063"/>
    </row>
    <row r="3282" spans="1:18" s="90" customFormat="1">
      <c r="A3282" s="1058"/>
      <c r="B3282" s="1064"/>
      <c r="C3282" s="1058"/>
      <c r="D3282" s="1058"/>
      <c r="E3282" s="1058"/>
      <c r="F3282" s="1066"/>
      <c r="G3282" s="1059"/>
      <c r="H3282" s="1067"/>
      <c r="I3282" s="1059"/>
      <c r="J3282" s="1068"/>
      <c r="K3282" s="1064"/>
      <c r="L3282" s="1069"/>
      <c r="M3282" s="1069"/>
      <c r="N3282" s="1069"/>
      <c r="O3282" s="1070"/>
      <c r="P3282" s="1071"/>
      <c r="Q3282" s="1058"/>
      <c r="R3282" s="1063"/>
    </row>
    <row r="3283" spans="1:18" s="90" customFormat="1">
      <c r="A3283" s="1058"/>
      <c r="B3283" s="1064"/>
      <c r="C3283" s="1058"/>
      <c r="D3283" s="1058"/>
      <c r="E3283" s="1058"/>
      <c r="F3283" s="1066"/>
      <c r="G3283" s="1059"/>
      <c r="H3283" s="1067"/>
      <c r="I3283" s="1059"/>
      <c r="J3283" s="1068"/>
      <c r="K3283" s="1064"/>
      <c r="L3283" s="1069"/>
      <c r="M3283" s="1069"/>
      <c r="N3283" s="1069"/>
      <c r="O3283" s="1070"/>
      <c r="P3283" s="1071"/>
      <c r="Q3283" s="1058"/>
      <c r="R3283" s="1063"/>
    </row>
    <row r="3284" spans="1:18" s="90" customFormat="1">
      <c r="A3284" s="1058"/>
      <c r="B3284" s="1064"/>
      <c r="C3284" s="1058"/>
      <c r="D3284" s="1058"/>
      <c r="E3284" s="1058"/>
      <c r="F3284" s="1066"/>
      <c r="G3284" s="1059"/>
      <c r="H3284" s="1067"/>
      <c r="I3284" s="1059"/>
      <c r="J3284" s="1068"/>
      <c r="K3284" s="1064"/>
      <c r="L3284" s="1069"/>
      <c r="M3284" s="1069"/>
      <c r="N3284" s="1069"/>
      <c r="O3284" s="1070"/>
      <c r="P3284" s="1071"/>
      <c r="Q3284" s="1058"/>
      <c r="R3284" s="1063"/>
    </row>
    <row r="3285" spans="1:18" s="90" customFormat="1">
      <c r="A3285" s="1058"/>
      <c r="B3285" s="1064"/>
      <c r="C3285" s="1058"/>
      <c r="D3285" s="1058"/>
      <c r="E3285" s="1058"/>
      <c r="F3285" s="1066"/>
      <c r="G3285" s="1059"/>
      <c r="H3285" s="1067"/>
      <c r="I3285" s="1059"/>
      <c r="J3285" s="1068"/>
      <c r="K3285" s="1064"/>
      <c r="L3285" s="1069"/>
      <c r="M3285" s="1069"/>
      <c r="N3285" s="1069"/>
      <c r="O3285" s="1070"/>
      <c r="P3285" s="1071"/>
      <c r="Q3285" s="1058"/>
      <c r="R3285" s="1063"/>
    </row>
    <row r="3286" spans="1:18" s="90" customFormat="1">
      <c r="A3286" s="1058"/>
      <c r="B3286" s="1064"/>
      <c r="C3286" s="1058"/>
      <c r="D3286" s="1058"/>
      <c r="E3286" s="1058"/>
      <c r="F3286" s="1066"/>
      <c r="G3286" s="1059"/>
      <c r="H3286" s="1067"/>
      <c r="I3286" s="1059"/>
      <c r="J3286" s="1068"/>
      <c r="K3286" s="1064"/>
      <c r="L3286" s="1069"/>
      <c r="M3286" s="1069"/>
      <c r="N3286" s="1069"/>
      <c r="O3286" s="1070"/>
      <c r="P3286" s="1071"/>
      <c r="Q3286" s="1058"/>
      <c r="R3286" s="1063"/>
    </row>
    <row r="3287" spans="1:18" s="90" customFormat="1">
      <c r="A3287" s="1058"/>
      <c r="B3287" s="1064"/>
      <c r="C3287" s="1058"/>
      <c r="D3287" s="1058"/>
      <c r="E3287" s="1058"/>
      <c r="F3287" s="1066"/>
      <c r="G3287" s="1059"/>
      <c r="H3287" s="1067"/>
      <c r="I3287" s="1059"/>
      <c r="J3287" s="1068"/>
      <c r="K3287" s="1064"/>
      <c r="L3287" s="1069"/>
      <c r="M3287" s="1069"/>
      <c r="N3287" s="1069"/>
      <c r="O3287" s="1070"/>
      <c r="P3287" s="1071"/>
      <c r="Q3287" s="1058"/>
      <c r="R3287" s="1063"/>
    </row>
    <row r="3288" spans="1:18" s="90" customFormat="1">
      <c r="A3288" s="1058"/>
      <c r="B3288" s="1064"/>
      <c r="C3288" s="1058"/>
      <c r="D3288" s="1058"/>
      <c r="E3288" s="1058"/>
      <c r="F3288" s="1066"/>
      <c r="G3288" s="1059"/>
      <c r="H3288" s="1067"/>
      <c r="I3288" s="1059"/>
      <c r="J3288" s="1068"/>
      <c r="K3288" s="1064"/>
      <c r="L3288" s="1069"/>
      <c r="M3288" s="1069"/>
      <c r="N3288" s="1069"/>
      <c r="O3288" s="1070"/>
      <c r="P3288" s="1071"/>
      <c r="Q3288" s="1058"/>
      <c r="R3288" s="1063"/>
    </row>
    <row r="3289" spans="1:18" s="90" customFormat="1">
      <c r="A3289" s="1058"/>
      <c r="B3289" s="1064"/>
      <c r="C3289" s="1058"/>
      <c r="D3289" s="1058"/>
      <c r="E3289" s="1058"/>
      <c r="F3289" s="1066"/>
      <c r="G3289" s="1059"/>
      <c r="H3289" s="1067"/>
      <c r="I3289" s="1059"/>
      <c r="J3289" s="1068"/>
      <c r="K3289" s="1064"/>
      <c r="L3289" s="1069"/>
      <c r="M3289" s="1069"/>
      <c r="N3289" s="1069"/>
      <c r="O3289" s="1070"/>
      <c r="P3289" s="1071"/>
      <c r="Q3289" s="1058"/>
      <c r="R3289" s="1063"/>
    </row>
    <row r="3290" spans="1:18" s="90" customFormat="1">
      <c r="A3290" s="1058"/>
      <c r="B3290" s="1064"/>
      <c r="C3290" s="1058"/>
      <c r="D3290" s="1058"/>
      <c r="E3290" s="1058"/>
      <c r="F3290" s="1066"/>
      <c r="G3290" s="1059"/>
      <c r="H3290" s="1067"/>
      <c r="I3290" s="1059"/>
      <c r="J3290" s="1068"/>
      <c r="K3290" s="1064"/>
      <c r="L3290" s="1069"/>
      <c r="M3290" s="1069"/>
      <c r="N3290" s="1069"/>
      <c r="O3290" s="1070"/>
      <c r="P3290" s="1071"/>
      <c r="Q3290" s="1058"/>
      <c r="R3290" s="1063"/>
    </row>
    <row r="3291" spans="1:18" s="90" customFormat="1">
      <c r="A3291" s="1058"/>
      <c r="B3291" s="1064"/>
      <c r="C3291" s="1058"/>
      <c r="D3291" s="1058"/>
      <c r="E3291" s="1058"/>
      <c r="F3291" s="1066"/>
      <c r="G3291" s="1059"/>
      <c r="H3291" s="1067"/>
      <c r="I3291" s="1059"/>
      <c r="J3291" s="1068"/>
      <c r="K3291" s="1064"/>
      <c r="L3291" s="1069"/>
      <c r="M3291" s="1069"/>
      <c r="N3291" s="1069"/>
      <c r="O3291" s="1070"/>
      <c r="P3291" s="1071"/>
      <c r="Q3291" s="1058"/>
      <c r="R3291" s="1063"/>
    </row>
    <row r="3292" spans="1:18" s="90" customFormat="1">
      <c r="A3292" s="1058"/>
      <c r="B3292" s="1064"/>
      <c r="C3292" s="1058"/>
      <c r="D3292" s="1058"/>
      <c r="E3292" s="1058"/>
      <c r="F3292" s="1066"/>
      <c r="G3292" s="1059"/>
      <c r="H3292" s="1067"/>
      <c r="I3292" s="1059"/>
      <c r="J3292" s="1068"/>
      <c r="K3292" s="1064"/>
      <c r="L3292" s="1069"/>
      <c r="M3292" s="1069"/>
      <c r="N3292" s="1069"/>
      <c r="O3292" s="1070"/>
      <c r="P3292" s="1071"/>
      <c r="Q3292" s="1058"/>
      <c r="R3292" s="1063"/>
    </row>
    <row r="3293" spans="1:18" s="90" customFormat="1">
      <c r="A3293" s="1058"/>
      <c r="B3293" s="1064"/>
      <c r="C3293" s="1058"/>
      <c r="D3293" s="1058"/>
      <c r="E3293" s="1058"/>
      <c r="F3293" s="1066"/>
      <c r="G3293" s="1059"/>
      <c r="H3293" s="1067"/>
      <c r="I3293" s="1059"/>
      <c r="J3293" s="1068"/>
      <c r="K3293" s="1064"/>
      <c r="L3293" s="1069"/>
      <c r="M3293" s="1069"/>
      <c r="N3293" s="1069"/>
      <c r="O3293" s="1070"/>
      <c r="P3293" s="1071"/>
      <c r="Q3293" s="1058"/>
      <c r="R3293" s="1063"/>
    </row>
    <row r="3294" spans="1:18" s="90" customFormat="1">
      <c r="A3294" s="1058"/>
      <c r="B3294" s="1064"/>
      <c r="C3294" s="1058"/>
      <c r="D3294" s="1058"/>
      <c r="E3294" s="1058"/>
      <c r="F3294" s="1066"/>
      <c r="G3294" s="1059"/>
      <c r="H3294" s="1067"/>
      <c r="I3294" s="1059"/>
      <c r="J3294" s="1068"/>
      <c r="K3294" s="1064"/>
      <c r="L3294" s="1069"/>
      <c r="M3294" s="1069"/>
      <c r="N3294" s="1069"/>
      <c r="O3294" s="1070"/>
      <c r="P3294" s="1071"/>
      <c r="Q3294" s="1058"/>
      <c r="R3294" s="1063"/>
    </row>
    <row r="3295" spans="1:18" s="90" customFormat="1">
      <c r="A3295" s="1058"/>
      <c r="B3295" s="1064"/>
      <c r="C3295" s="1058"/>
      <c r="D3295" s="1058"/>
      <c r="E3295" s="1058"/>
      <c r="F3295" s="1066"/>
      <c r="G3295" s="1059"/>
      <c r="H3295" s="1067"/>
      <c r="I3295" s="1059"/>
      <c r="J3295" s="1068"/>
      <c r="K3295" s="1064"/>
      <c r="L3295" s="1069"/>
      <c r="M3295" s="1069"/>
      <c r="N3295" s="1069"/>
      <c r="O3295" s="1070"/>
      <c r="P3295" s="1071"/>
      <c r="Q3295" s="1058"/>
      <c r="R3295" s="1063"/>
    </row>
    <row r="3296" spans="1:18" s="90" customFormat="1">
      <c r="A3296" s="1058"/>
      <c r="B3296" s="1064"/>
      <c r="C3296" s="1058"/>
      <c r="D3296" s="1058"/>
      <c r="E3296" s="1058"/>
      <c r="F3296" s="1066"/>
      <c r="G3296" s="1059"/>
      <c r="H3296" s="1067"/>
      <c r="I3296" s="1059"/>
      <c r="J3296" s="1068"/>
      <c r="K3296" s="1064"/>
      <c r="L3296" s="1069"/>
      <c r="M3296" s="1069"/>
      <c r="N3296" s="1069"/>
      <c r="O3296" s="1070"/>
      <c r="P3296" s="1071"/>
      <c r="Q3296" s="1058"/>
      <c r="R3296" s="1063"/>
    </row>
    <row r="3297" spans="1:18" s="90" customFormat="1">
      <c r="A3297" s="1058"/>
      <c r="B3297" s="1064"/>
      <c r="C3297" s="1058"/>
      <c r="D3297" s="1058"/>
      <c r="E3297" s="1058"/>
      <c r="F3297" s="1066"/>
      <c r="G3297" s="1059"/>
      <c r="H3297" s="1067"/>
      <c r="I3297" s="1059"/>
      <c r="J3297" s="1068"/>
      <c r="K3297" s="1064"/>
      <c r="L3297" s="1069"/>
      <c r="M3297" s="1069"/>
      <c r="N3297" s="1069"/>
      <c r="O3297" s="1070"/>
      <c r="P3297" s="1071"/>
      <c r="Q3297" s="1058"/>
      <c r="R3297" s="1063"/>
    </row>
    <row r="3298" spans="1:18" s="90" customFormat="1">
      <c r="A3298" s="1058"/>
      <c r="B3298" s="1064"/>
      <c r="C3298" s="1058"/>
      <c r="D3298" s="1058"/>
      <c r="E3298" s="1058"/>
      <c r="F3298" s="1066"/>
      <c r="G3298" s="1059"/>
      <c r="H3298" s="1067"/>
      <c r="I3298" s="1059"/>
      <c r="J3298" s="1068"/>
      <c r="K3298" s="1064"/>
      <c r="L3298" s="1069"/>
      <c r="M3298" s="1069"/>
      <c r="N3298" s="1069"/>
      <c r="O3298" s="1070"/>
      <c r="P3298" s="1071"/>
      <c r="Q3298" s="1058"/>
      <c r="R3298" s="1063"/>
    </row>
    <row r="3299" spans="1:18" s="90" customFormat="1">
      <c r="A3299" s="1058"/>
      <c r="B3299" s="1064"/>
      <c r="C3299" s="1058"/>
      <c r="D3299" s="1058"/>
      <c r="E3299" s="1058"/>
      <c r="F3299" s="1066"/>
      <c r="G3299" s="1059"/>
      <c r="H3299" s="1067"/>
      <c r="I3299" s="1059"/>
      <c r="J3299" s="1068"/>
      <c r="K3299" s="1064"/>
      <c r="L3299" s="1069"/>
      <c r="M3299" s="1069"/>
      <c r="N3299" s="1069"/>
      <c r="O3299" s="1070"/>
      <c r="P3299" s="1071"/>
      <c r="Q3299" s="1058"/>
      <c r="R3299" s="1063"/>
    </row>
    <row r="3300" spans="1:18" s="90" customFormat="1">
      <c r="A3300" s="1058"/>
      <c r="B3300" s="1064"/>
      <c r="C3300" s="1058"/>
      <c r="D3300" s="1058"/>
      <c r="E3300" s="1058"/>
      <c r="F3300" s="1066"/>
      <c r="G3300" s="1059"/>
      <c r="H3300" s="1067"/>
      <c r="I3300" s="1059"/>
      <c r="J3300" s="1068"/>
      <c r="K3300" s="1064"/>
      <c r="L3300" s="1069"/>
      <c r="M3300" s="1069"/>
      <c r="N3300" s="1069"/>
      <c r="O3300" s="1070"/>
      <c r="P3300" s="1071"/>
      <c r="Q3300" s="1058"/>
      <c r="R3300" s="1063"/>
    </row>
    <row r="3301" spans="1:18" s="90" customFormat="1">
      <c r="A3301" s="1058"/>
      <c r="B3301" s="1064"/>
      <c r="C3301" s="1058"/>
      <c r="D3301" s="1058"/>
      <c r="E3301" s="1058"/>
      <c r="F3301" s="1066"/>
      <c r="G3301" s="1059"/>
      <c r="H3301" s="1067"/>
      <c r="I3301" s="1059"/>
      <c r="J3301" s="1068"/>
      <c r="K3301" s="1064"/>
      <c r="L3301" s="1069"/>
      <c r="M3301" s="1069"/>
      <c r="N3301" s="1069"/>
      <c r="O3301" s="1070"/>
      <c r="P3301" s="1071"/>
      <c r="Q3301" s="1058"/>
      <c r="R3301" s="1063"/>
    </row>
    <row r="3302" spans="1:18" s="90" customFormat="1">
      <c r="A3302" s="1058"/>
      <c r="B3302" s="1064"/>
      <c r="C3302" s="1058"/>
      <c r="D3302" s="1058"/>
      <c r="E3302" s="1058"/>
      <c r="F3302" s="1066"/>
      <c r="G3302" s="1059"/>
      <c r="H3302" s="1067"/>
      <c r="I3302" s="1059"/>
      <c r="J3302" s="1068"/>
      <c r="K3302" s="1064"/>
      <c r="L3302" s="1069"/>
      <c r="M3302" s="1069"/>
      <c r="N3302" s="1069"/>
      <c r="O3302" s="1070"/>
      <c r="P3302" s="1071"/>
      <c r="Q3302" s="1058"/>
      <c r="R3302" s="1063"/>
    </row>
    <row r="3303" spans="1:18" s="90" customFormat="1">
      <c r="A3303" s="1058"/>
      <c r="B3303" s="1064"/>
      <c r="C3303" s="1058"/>
      <c r="D3303" s="1058"/>
      <c r="E3303" s="1058"/>
      <c r="F3303" s="1066"/>
      <c r="G3303" s="1059"/>
      <c r="H3303" s="1067"/>
      <c r="I3303" s="1059"/>
      <c r="J3303" s="1068"/>
      <c r="K3303" s="1064"/>
      <c r="L3303" s="1069"/>
      <c r="M3303" s="1069"/>
      <c r="N3303" s="1069"/>
      <c r="O3303" s="1070"/>
      <c r="P3303" s="1071"/>
      <c r="Q3303" s="1058"/>
      <c r="R3303" s="1063"/>
    </row>
    <row r="3304" spans="1:18" s="90" customFormat="1">
      <c r="A3304" s="1058"/>
      <c r="B3304" s="1064"/>
      <c r="C3304" s="1058"/>
      <c r="D3304" s="1058"/>
      <c r="E3304" s="1058"/>
      <c r="F3304" s="1066"/>
      <c r="G3304" s="1059"/>
      <c r="H3304" s="1067"/>
      <c r="I3304" s="1059"/>
      <c r="J3304" s="1068"/>
      <c r="K3304" s="1064"/>
      <c r="L3304" s="1069"/>
      <c r="M3304" s="1069"/>
      <c r="N3304" s="1069"/>
      <c r="O3304" s="1070"/>
      <c r="P3304" s="1071"/>
      <c r="Q3304" s="1058"/>
      <c r="R3304" s="1063"/>
    </row>
    <row r="3305" spans="1:18" s="90" customFormat="1">
      <c r="A3305" s="1058"/>
      <c r="B3305" s="1064"/>
      <c r="C3305" s="1058"/>
      <c r="D3305" s="1058"/>
      <c r="E3305" s="1058"/>
      <c r="F3305" s="1066"/>
      <c r="G3305" s="1059"/>
      <c r="H3305" s="1067"/>
      <c r="I3305" s="1059"/>
      <c r="J3305" s="1068"/>
      <c r="K3305" s="1064"/>
      <c r="L3305" s="1069"/>
      <c r="M3305" s="1069"/>
      <c r="N3305" s="1069"/>
      <c r="O3305" s="1070"/>
      <c r="P3305" s="1071"/>
      <c r="Q3305" s="1058"/>
      <c r="R3305" s="1063"/>
    </row>
    <row r="3306" spans="1:18" s="90" customFormat="1">
      <c r="A3306" s="1058"/>
      <c r="B3306" s="1064"/>
      <c r="C3306" s="1058"/>
      <c r="D3306" s="1058"/>
      <c r="E3306" s="1058"/>
      <c r="F3306" s="1066"/>
      <c r="G3306" s="1059"/>
      <c r="H3306" s="1067"/>
      <c r="I3306" s="1059"/>
      <c r="J3306" s="1068"/>
      <c r="K3306" s="1064"/>
      <c r="L3306" s="1069"/>
      <c r="M3306" s="1069"/>
      <c r="N3306" s="1069"/>
      <c r="O3306" s="1070"/>
      <c r="P3306" s="1071"/>
      <c r="Q3306" s="1058"/>
      <c r="R3306" s="1063"/>
    </row>
    <row r="3307" spans="1:18" s="90" customFormat="1">
      <c r="A3307" s="1058"/>
      <c r="B3307" s="1064"/>
      <c r="C3307" s="1058"/>
      <c r="D3307" s="1058"/>
      <c r="E3307" s="1058"/>
      <c r="F3307" s="1066"/>
      <c r="G3307" s="1059"/>
      <c r="H3307" s="1067"/>
      <c r="I3307" s="1059"/>
      <c r="J3307" s="1068"/>
      <c r="K3307" s="1064"/>
      <c r="L3307" s="1069"/>
      <c r="M3307" s="1069"/>
      <c r="N3307" s="1069"/>
      <c r="O3307" s="1070"/>
      <c r="P3307" s="1071"/>
      <c r="Q3307" s="1058"/>
      <c r="R3307" s="1063"/>
    </row>
    <row r="3308" spans="1:18" s="90" customFormat="1">
      <c r="A3308" s="1058"/>
      <c r="B3308" s="1064"/>
      <c r="C3308" s="1058"/>
      <c r="D3308" s="1058"/>
      <c r="E3308" s="1058"/>
      <c r="F3308" s="1066"/>
      <c r="G3308" s="1059"/>
      <c r="H3308" s="1067"/>
      <c r="I3308" s="1059"/>
      <c r="J3308" s="1068"/>
      <c r="K3308" s="1064"/>
      <c r="L3308" s="1069"/>
      <c r="M3308" s="1069"/>
      <c r="N3308" s="1069"/>
      <c r="O3308" s="1070"/>
      <c r="P3308" s="1071"/>
      <c r="Q3308" s="1058"/>
      <c r="R3308" s="1063"/>
    </row>
    <row r="3309" spans="1:18" s="90" customFormat="1">
      <c r="A3309" s="1058"/>
      <c r="B3309" s="1064"/>
      <c r="C3309" s="1058"/>
      <c r="D3309" s="1058"/>
      <c r="E3309" s="1058"/>
      <c r="F3309" s="1066"/>
      <c r="G3309" s="1059"/>
      <c r="H3309" s="1067"/>
      <c r="I3309" s="1059"/>
      <c r="J3309" s="1068"/>
      <c r="K3309" s="1064"/>
      <c r="L3309" s="1069"/>
      <c r="M3309" s="1069"/>
      <c r="N3309" s="1069"/>
      <c r="O3309" s="1070"/>
      <c r="P3309" s="1071"/>
      <c r="Q3309" s="1058"/>
      <c r="R3309" s="1063"/>
    </row>
    <row r="3310" spans="1:18" s="90" customFormat="1">
      <c r="A3310" s="1058"/>
      <c r="B3310" s="1064"/>
      <c r="C3310" s="1058"/>
      <c r="D3310" s="1058"/>
      <c r="E3310" s="1058"/>
      <c r="F3310" s="1066"/>
      <c r="G3310" s="1059"/>
      <c r="H3310" s="1067"/>
      <c r="I3310" s="1059"/>
      <c r="J3310" s="1068"/>
      <c r="K3310" s="1064"/>
      <c r="L3310" s="1069"/>
      <c r="M3310" s="1069"/>
      <c r="N3310" s="1069"/>
      <c r="O3310" s="1070"/>
      <c r="P3310" s="1071"/>
      <c r="Q3310" s="1058"/>
      <c r="R3310" s="1063"/>
    </row>
    <row r="3311" spans="1:18" s="90" customFormat="1">
      <c r="A3311" s="1058"/>
      <c r="B3311" s="1064"/>
      <c r="C3311" s="1058"/>
      <c r="D3311" s="1058"/>
      <c r="E3311" s="1058"/>
      <c r="F3311" s="1066"/>
      <c r="G3311" s="1059"/>
      <c r="H3311" s="1067"/>
      <c r="I3311" s="1059"/>
      <c r="J3311" s="1068"/>
      <c r="K3311" s="1064"/>
      <c r="L3311" s="1069"/>
      <c r="M3311" s="1069"/>
      <c r="N3311" s="1069"/>
      <c r="O3311" s="1070"/>
      <c r="P3311" s="1071"/>
      <c r="Q3311" s="1058"/>
      <c r="R3311" s="1063"/>
    </row>
    <row r="3312" spans="1:18" s="90" customFormat="1">
      <c r="A3312" s="1058"/>
      <c r="B3312" s="1064"/>
      <c r="C3312" s="1058"/>
      <c r="D3312" s="1058"/>
      <c r="E3312" s="1058"/>
      <c r="F3312" s="1066"/>
      <c r="G3312" s="1059"/>
      <c r="H3312" s="1067"/>
      <c r="I3312" s="1059"/>
      <c r="J3312" s="1068"/>
      <c r="K3312" s="1064"/>
      <c r="L3312" s="1069"/>
      <c r="M3312" s="1069"/>
      <c r="N3312" s="1069"/>
      <c r="O3312" s="1070"/>
      <c r="P3312" s="1071"/>
      <c r="Q3312" s="1058"/>
      <c r="R3312" s="1063"/>
    </row>
    <row r="3313" spans="1:18" s="90" customFormat="1">
      <c r="A3313" s="1058"/>
      <c r="B3313" s="1064"/>
      <c r="C3313" s="1058"/>
      <c r="D3313" s="1058"/>
      <c r="E3313" s="1058"/>
      <c r="F3313" s="1066"/>
      <c r="G3313" s="1059"/>
      <c r="H3313" s="1067"/>
      <c r="I3313" s="1059"/>
      <c r="J3313" s="1068"/>
      <c r="K3313" s="1064"/>
      <c r="L3313" s="1069"/>
      <c r="M3313" s="1069"/>
      <c r="N3313" s="1069"/>
      <c r="O3313" s="1070"/>
      <c r="P3313" s="1071"/>
      <c r="Q3313" s="1058"/>
      <c r="R3313" s="1063"/>
    </row>
    <row r="3314" spans="1:18" s="90" customFormat="1">
      <c r="A3314" s="1058"/>
      <c r="B3314" s="1064"/>
      <c r="C3314" s="1058"/>
      <c r="D3314" s="1058"/>
      <c r="E3314" s="1058"/>
      <c r="F3314" s="1066"/>
      <c r="G3314" s="1059"/>
      <c r="H3314" s="1067"/>
      <c r="I3314" s="1059"/>
      <c r="J3314" s="1068"/>
      <c r="K3314" s="1064"/>
      <c r="L3314" s="1069"/>
      <c r="M3314" s="1069"/>
      <c r="N3314" s="1069"/>
      <c r="O3314" s="1070"/>
      <c r="P3314" s="1071"/>
      <c r="Q3314" s="1058"/>
      <c r="R3314" s="1063"/>
    </row>
    <row r="3315" spans="1:18" s="90" customFormat="1">
      <c r="A3315" s="1058"/>
      <c r="B3315" s="1064"/>
      <c r="C3315" s="1058"/>
      <c r="D3315" s="1058"/>
      <c r="E3315" s="1058"/>
      <c r="F3315" s="1066"/>
      <c r="G3315" s="1059"/>
      <c r="H3315" s="1067"/>
      <c r="I3315" s="1059"/>
      <c r="J3315" s="1068"/>
      <c r="K3315" s="1064"/>
      <c r="L3315" s="1069"/>
      <c r="M3315" s="1069"/>
      <c r="N3315" s="1069"/>
      <c r="O3315" s="1070"/>
      <c r="P3315" s="1071"/>
      <c r="Q3315" s="1058"/>
      <c r="R3315" s="1063"/>
    </row>
    <row r="3316" spans="1:18" s="90" customFormat="1">
      <c r="A3316" s="1058"/>
      <c r="B3316" s="1064"/>
      <c r="C3316" s="1058"/>
      <c r="D3316" s="1058"/>
      <c r="E3316" s="1058"/>
      <c r="F3316" s="1066"/>
      <c r="G3316" s="1059"/>
      <c r="H3316" s="1067"/>
      <c r="I3316" s="1059"/>
      <c r="J3316" s="1068"/>
      <c r="K3316" s="1064"/>
      <c r="L3316" s="1069"/>
      <c r="M3316" s="1069"/>
      <c r="N3316" s="1069"/>
      <c r="O3316" s="1070"/>
      <c r="P3316" s="1071"/>
      <c r="Q3316" s="1058"/>
      <c r="R3316" s="1063"/>
    </row>
    <row r="3317" spans="1:18" s="90" customFormat="1">
      <c r="A3317" s="1058"/>
      <c r="B3317" s="1064"/>
      <c r="C3317" s="1058"/>
      <c r="D3317" s="1058"/>
      <c r="E3317" s="1058"/>
      <c r="F3317" s="1066"/>
      <c r="G3317" s="1059"/>
      <c r="H3317" s="1067"/>
      <c r="I3317" s="1059"/>
      <c r="J3317" s="1068"/>
      <c r="K3317" s="1064"/>
      <c r="L3317" s="1069"/>
      <c r="M3317" s="1069"/>
      <c r="N3317" s="1069"/>
      <c r="O3317" s="1070"/>
      <c r="P3317" s="1071"/>
      <c r="Q3317" s="1058"/>
      <c r="R3317" s="1063"/>
    </row>
    <row r="3318" spans="1:18" s="90" customFormat="1">
      <c r="A3318" s="1058"/>
      <c r="B3318" s="1064"/>
      <c r="C3318" s="1058"/>
      <c r="D3318" s="1058"/>
      <c r="E3318" s="1058"/>
      <c r="F3318" s="1066"/>
      <c r="G3318" s="1059"/>
      <c r="H3318" s="1067"/>
      <c r="I3318" s="1059"/>
      <c r="J3318" s="1068"/>
      <c r="K3318" s="1064"/>
      <c r="L3318" s="1069"/>
      <c r="M3318" s="1069"/>
      <c r="N3318" s="1069"/>
      <c r="O3318" s="1070"/>
      <c r="P3318" s="1071"/>
      <c r="Q3318" s="1058"/>
      <c r="R3318" s="1063"/>
    </row>
    <row r="3319" spans="1:18" s="90" customFormat="1">
      <c r="A3319" s="1058"/>
      <c r="B3319" s="1064"/>
      <c r="C3319" s="1058"/>
      <c r="D3319" s="1058"/>
      <c r="E3319" s="1058"/>
      <c r="F3319" s="1066"/>
      <c r="G3319" s="1059"/>
      <c r="H3319" s="1067"/>
      <c r="I3319" s="1059"/>
      <c r="J3319" s="1068"/>
      <c r="K3319" s="1064"/>
      <c r="L3319" s="1069"/>
      <c r="M3319" s="1069"/>
      <c r="N3319" s="1069"/>
      <c r="O3319" s="1070"/>
      <c r="P3319" s="1071"/>
      <c r="Q3319" s="1058"/>
      <c r="R3319" s="1063"/>
    </row>
    <row r="3320" spans="1:18" s="90" customFormat="1">
      <c r="A3320" s="1058"/>
      <c r="B3320" s="1064"/>
      <c r="C3320" s="1058"/>
      <c r="D3320" s="1058"/>
      <c r="E3320" s="1058"/>
      <c r="F3320" s="1066"/>
      <c r="G3320" s="1059"/>
      <c r="H3320" s="1067"/>
      <c r="I3320" s="1059"/>
      <c r="J3320" s="1068"/>
      <c r="K3320" s="1064"/>
      <c r="L3320" s="1069"/>
      <c r="M3320" s="1069"/>
      <c r="N3320" s="1069"/>
      <c r="O3320" s="1070"/>
      <c r="P3320" s="1071"/>
      <c r="Q3320" s="1058"/>
      <c r="R3320" s="1063"/>
    </row>
    <row r="3321" spans="1:18" s="90" customFormat="1">
      <c r="A3321" s="1058"/>
      <c r="B3321" s="1064"/>
      <c r="C3321" s="1058"/>
      <c r="D3321" s="1058"/>
      <c r="E3321" s="1058"/>
      <c r="F3321" s="1066"/>
      <c r="G3321" s="1059"/>
      <c r="H3321" s="1067"/>
      <c r="I3321" s="1059"/>
      <c r="J3321" s="1068"/>
      <c r="K3321" s="1064"/>
      <c r="L3321" s="1069"/>
      <c r="M3321" s="1069"/>
      <c r="N3321" s="1069"/>
      <c r="O3321" s="1070"/>
      <c r="P3321" s="1071"/>
      <c r="Q3321" s="1058"/>
      <c r="R3321" s="1063"/>
    </row>
    <row r="3322" spans="1:18" s="90" customFormat="1">
      <c r="A3322" s="1058"/>
      <c r="B3322" s="1064"/>
      <c r="C3322" s="1058"/>
      <c r="D3322" s="1058"/>
      <c r="E3322" s="1058"/>
      <c r="F3322" s="1066"/>
      <c r="G3322" s="1059"/>
      <c r="H3322" s="1067"/>
      <c r="I3322" s="1059"/>
      <c r="J3322" s="1068"/>
      <c r="K3322" s="1064"/>
      <c r="L3322" s="1069"/>
      <c r="M3322" s="1069"/>
      <c r="N3322" s="1069"/>
      <c r="O3322" s="1070"/>
      <c r="P3322" s="1071"/>
      <c r="Q3322" s="1058"/>
      <c r="R3322" s="1063"/>
    </row>
    <row r="3323" spans="1:18" s="90" customFormat="1">
      <c r="A3323" s="1058"/>
      <c r="B3323" s="1064"/>
      <c r="C3323" s="1058"/>
      <c r="D3323" s="1058"/>
      <c r="E3323" s="1058"/>
      <c r="F3323" s="1066"/>
      <c r="G3323" s="1059"/>
      <c r="H3323" s="1067"/>
      <c r="I3323" s="1059"/>
      <c r="J3323" s="1068"/>
      <c r="K3323" s="1064"/>
      <c r="L3323" s="1069"/>
      <c r="M3323" s="1069"/>
      <c r="N3323" s="1069"/>
      <c r="O3323" s="1070"/>
      <c r="P3323" s="1071"/>
      <c r="Q3323" s="1058"/>
      <c r="R3323" s="1063"/>
    </row>
    <row r="3324" spans="1:18" s="90" customFormat="1">
      <c r="A3324" s="1058"/>
      <c r="B3324" s="1064"/>
      <c r="C3324" s="1058"/>
      <c r="D3324" s="1058"/>
      <c r="E3324" s="1058"/>
      <c r="F3324" s="1066"/>
      <c r="G3324" s="1059"/>
      <c r="H3324" s="1067"/>
      <c r="I3324" s="1059"/>
      <c r="J3324" s="1068"/>
      <c r="K3324" s="1064"/>
      <c r="L3324" s="1069"/>
      <c r="M3324" s="1069"/>
      <c r="N3324" s="1069"/>
      <c r="O3324" s="1070"/>
      <c r="P3324" s="1071"/>
      <c r="Q3324" s="1058"/>
      <c r="R3324" s="1063"/>
    </row>
    <row r="3325" spans="1:18" s="90" customFormat="1">
      <c r="A3325" s="1058"/>
      <c r="B3325" s="1064"/>
      <c r="C3325" s="1058"/>
      <c r="D3325" s="1058"/>
      <c r="E3325" s="1058"/>
      <c r="F3325" s="1066"/>
      <c r="G3325" s="1059"/>
      <c r="H3325" s="1067"/>
      <c r="I3325" s="1059"/>
      <c r="J3325" s="1068"/>
      <c r="K3325" s="1064"/>
      <c r="L3325" s="1069"/>
      <c r="M3325" s="1069"/>
      <c r="N3325" s="1069"/>
      <c r="O3325" s="1070"/>
      <c r="P3325" s="1071"/>
      <c r="Q3325" s="1058"/>
      <c r="R3325" s="1063"/>
    </row>
    <row r="3326" spans="1:18" s="90" customFormat="1">
      <c r="A3326" s="1058"/>
      <c r="B3326" s="1064"/>
      <c r="C3326" s="1058"/>
      <c r="D3326" s="1058"/>
      <c r="E3326" s="1058"/>
      <c r="F3326" s="1066"/>
      <c r="G3326" s="1059"/>
      <c r="H3326" s="1067"/>
      <c r="I3326" s="1059"/>
      <c r="J3326" s="1068"/>
      <c r="K3326" s="1064"/>
      <c r="L3326" s="1069"/>
      <c r="M3326" s="1069"/>
      <c r="N3326" s="1069"/>
      <c r="O3326" s="1070"/>
      <c r="P3326" s="1071"/>
      <c r="Q3326" s="1058"/>
      <c r="R3326" s="1063"/>
    </row>
    <row r="3327" spans="1:18" s="90" customFormat="1">
      <c r="A3327" s="1058"/>
      <c r="B3327" s="1064"/>
      <c r="C3327" s="1058"/>
      <c r="D3327" s="1058"/>
      <c r="E3327" s="1058"/>
      <c r="F3327" s="1066"/>
      <c r="G3327" s="1059"/>
      <c r="H3327" s="1067"/>
      <c r="I3327" s="1059"/>
      <c r="J3327" s="1068"/>
      <c r="K3327" s="1064"/>
      <c r="L3327" s="1069"/>
      <c r="M3327" s="1069"/>
      <c r="N3327" s="1069"/>
      <c r="O3327" s="1070"/>
      <c r="P3327" s="1071"/>
      <c r="Q3327" s="1058"/>
      <c r="R3327" s="1063"/>
    </row>
    <row r="3328" spans="1:18" s="90" customFormat="1">
      <c r="A3328" s="1058"/>
      <c r="B3328" s="1064"/>
      <c r="C3328" s="1058"/>
      <c r="D3328" s="1058"/>
      <c r="E3328" s="1058"/>
      <c r="F3328" s="1066"/>
      <c r="G3328" s="1059"/>
      <c r="H3328" s="1067"/>
      <c r="I3328" s="1059"/>
      <c r="J3328" s="1068"/>
      <c r="K3328" s="1064"/>
      <c r="L3328" s="1069"/>
      <c r="M3328" s="1069"/>
      <c r="N3328" s="1069"/>
      <c r="O3328" s="1070"/>
      <c r="P3328" s="1071"/>
      <c r="Q3328" s="1058"/>
      <c r="R3328" s="1063"/>
    </row>
    <row r="3329" spans="1:18" s="90" customFormat="1">
      <c r="A3329" s="1058"/>
      <c r="B3329" s="1064"/>
      <c r="C3329" s="1058"/>
      <c r="D3329" s="1058"/>
      <c r="E3329" s="1058"/>
      <c r="F3329" s="1066"/>
      <c r="G3329" s="1059"/>
      <c r="H3329" s="1067"/>
      <c r="I3329" s="1059"/>
      <c r="J3329" s="1068"/>
      <c r="K3329" s="1064"/>
      <c r="L3329" s="1069"/>
      <c r="M3329" s="1069"/>
      <c r="N3329" s="1069"/>
      <c r="O3329" s="1070"/>
      <c r="P3329" s="1071"/>
      <c r="Q3329" s="1058"/>
      <c r="R3329" s="1063"/>
    </row>
    <row r="3330" spans="1:18" s="90" customFormat="1">
      <c r="A3330" s="1058"/>
      <c r="B3330" s="1064"/>
      <c r="C3330" s="1058"/>
      <c r="D3330" s="1058"/>
      <c r="E3330" s="1058"/>
      <c r="F3330" s="1066"/>
      <c r="G3330" s="1059"/>
      <c r="H3330" s="1067"/>
      <c r="I3330" s="1059"/>
      <c r="J3330" s="1068"/>
      <c r="K3330" s="1064"/>
      <c r="L3330" s="1069"/>
      <c r="M3330" s="1069"/>
      <c r="N3330" s="1069"/>
      <c r="O3330" s="1070"/>
      <c r="P3330" s="1071"/>
      <c r="Q3330" s="1058"/>
      <c r="R3330" s="1063"/>
    </row>
    <row r="3331" spans="1:18" s="90" customFormat="1">
      <c r="A3331" s="1058"/>
      <c r="B3331" s="1064"/>
      <c r="C3331" s="1058"/>
      <c r="D3331" s="1058"/>
      <c r="E3331" s="1058"/>
      <c r="F3331" s="1066"/>
      <c r="G3331" s="1059"/>
      <c r="H3331" s="1067"/>
      <c r="I3331" s="1059"/>
      <c r="J3331" s="1068"/>
      <c r="K3331" s="1064"/>
      <c r="L3331" s="1069"/>
      <c r="M3331" s="1069"/>
      <c r="N3331" s="1069"/>
      <c r="O3331" s="1070"/>
      <c r="P3331" s="1071"/>
      <c r="Q3331" s="1058"/>
      <c r="R3331" s="1063"/>
    </row>
    <row r="3332" spans="1:18" s="90" customFormat="1">
      <c r="A3332" s="1058"/>
      <c r="B3332" s="1064"/>
      <c r="C3332" s="1058"/>
      <c r="D3332" s="1058"/>
      <c r="E3332" s="1058"/>
      <c r="F3332" s="1066"/>
      <c r="G3332" s="1059"/>
      <c r="H3332" s="1067"/>
      <c r="I3332" s="1059"/>
      <c r="J3332" s="1068"/>
      <c r="K3332" s="1064"/>
      <c r="L3332" s="1069"/>
      <c r="M3332" s="1069"/>
      <c r="N3332" s="1069"/>
      <c r="O3332" s="1070"/>
      <c r="P3332" s="1071"/>
      <c r="Q3332" s="1058"/>
      <c r="R3332" s="1063"/>
    </row>
    <row r="3333" spans="1:18" s="90" customFormat="1">
      <c r="A3333" s="1058"/>
      <c r="B3333" s="1064"/>
      <c r="C3333" s="1058"/>
      <c r="D3333" s="1058"/>
      <c r="E3333" s="1058"/>
      <c r="F3333" s="1066"/>
      <c r="G3333" s="1059"/>
      <c r="H3333" s="1067"/>
      <c r="I3333" s="1059"/>
      <c r="J3333" s="1068"/>
      <c r="K3333" s="1064"/>
      <c r="L3333" s="1069"/>
      <c r="M3333" s="1069"/>
      <c r="N3333" s="1069"/>
      <c r="O3333" s="1070"/>
      <c r="P3333" s="1071"/>
      <c r="Q3333" s="1058"/>
      <c r="R3333" s="1063"/>
    </row>
    <row r="3334" spans="1:18" s="90" customFormat="1">
      <c r="A3334" s="1058"/>
      <c r="B3334" s="1064"/>
      <c r="C3334" s="1058"/>
      <c r="D3334" s="1058"/>
      <c r="E3334" s="1058"/>
      <c r="F3334" s="1066"/>
      <c r="G3334" s="1059"/>
      <c r="H3334" s="1067"/>
      <c r="I3334" s="1059"/>
      <c r="J3334" s="1068"/>
      <c r="K3334" s="1064"/>
      <c r="L3334" s="1069"/>
      <c r="M3334" s="1069"/>
      <c r="N3334" s="1069"/>
      <c r="O3334" s="1070"/>
      <c r="P3334" s="1071"/>
      <c r="Q3334" s="1058"/>
      <c r="R3334" s="1063"/>
    </row>
    <row r="3335" spans="1:18" s="90" customFormat="1">
      <c r="A3335" s="1058"/>
      <c r="B3335" s="1064"/>
      <c r="C3335" s="1058"/>
      <c r="D3335" s="1058"/>
      <c r="E3335" s="1058"/>
      <c r="F3335" s="1066"/>
      <c r="G3335" s="1059"/>
      <c r="H3335" s="1067"/>
      <c r="I3335" s="1059"/>
      <c r="J3335" s="1068"/>
      <c r="K3335" s="1064"/>
      <c r="L3335" s="1069"/>
      <c r="M3335" s="1069"/>
      <c r="N3335" s="1069"/>
      <c r="O3335" s="1070"/>
      <c r="P3335" s="1071"/>
      <c r="Q3335" s="1058"/>
      <c r="R3335" s="1063"/>
    </row>
    <row r="3336" spans="1:18" s="90" customFormat="1">
      <c r="A3336" s="1058"/>
      <c r="B3336" s="1064"/>
      <c r="C3336" s="1058"/>
      <c r="D3336" s="1058"/>
      <c r="E3336" s="1058"/>
      <c r="F3336" s="1066"/>
      <c r="G3336" s="1059"/>
      <c r="H3336" s="1067"/>
      <c r="I3336" s="1059"/>
      <c r="J3336" s="1068"/>
      <c r="K3336" s="1064"/>
      <c r="L3336" s="1069"/>
      <c r="M3336" s="1069"/>
      <c r="N3336" s="1069"/>
      <c r="O3336" s="1070"/>
      <c r="P3336" s="1071"/>
      <c r="Q3336" s="1058"/>
      <c r="R3336" s="1063"/>
    </row>
    <row r="3337" spans="1:18" s="90" customFormat="1">
      <c r="A3337" s="1058"/>
      <c r="B3337" s="1064"/>
      <c r="C3337" s="1058"/>
      <c r="D3337" s="1058"/>
      <c r="E3337" s="1058"/>
      <c r="F3337" s="1066"/>
      <c r="G3337" s="1059"/>
      <c r="H3337" s="1067"/>
      <c r="I3337" s="1059"/>
      <c r="J3337" s="1068"/>
      <c r="K3337" s="1064"/>
      <c r="L3337" s="1069"/>
      <c r="M3337" s="1069"/>
      <c r="N3337" s="1069"/>
      <c r="O3337" s="1070"/>
      <c r="P3337" s="1071"/>
      <c r="Q3337" s="1058"/>
      <c r="R3337" s="1063"/>
    </row>
    <row r="3338" spans="1:18" s="90" customFormat="1">
      <c r="A3338" s="1058"/>
      <c r="B3338" s="1064"/>
      <c r="C3338" s="1058"/>
      <c r="D3338" s="1058"/>
      <c r="E3338" s="1058"/>
      <c r="F3338" s="1066"/>
      <c r="G3338" s="1059"/>
      <c r="H3338" s="1067"/>
      <c r="I3338" s="1059"/>
      <c r="J3338" s="1068"/>
      <c r="K3338" s="1064"/>
      <c r="L3338" s="1069"/>
      <c r="M3338" s="1069"/>
      <c r="N3338" s="1069"/>
      <c r="O3338" s="1070"/>
      <c r="P3338" s="1071"/>
      <c r="Q3338" s="1058"/>
      <c r="R3338" s="1063"/>
    </row>
    <row r="3339" spans="1:18" s="90" customFormat="1">
      <c r="A3339" s="1058"/>
      <c r="B3339" s="1064"/>
      <c r="C3339" s="1058"/>
      <c r="D3339" s="1058"/>
      <c r="E3339" s="1058"/>
      <c r="F3339" s="1066"/>
      <c r="G3339" s="1059"/>
      <c r="H3339" s="1067"/>
      <c r="I3339" s="1059"/>
      <c r="J3339" s="1068"/>
      <c r="K3339" s="1064"/>
      <c r="L3339" s="1069"/>
      <c r="M3339" s="1069"/>
      <c r="N3339" s="1069"/>
      <c r="O3339" s="1070"/>
      <c r="P3339" s="1071"/>
      <c r="Q3339" s="1058"/>
      <c r="R3339" s="1063"/>
    </row>
    <row r="3340" spans="1:18" s="90" customFormat="1">
      <c r="A3340" s="1058"/>
      <c r="B3340" s="1064"/>
      <c r="C3340" s="1058"/>
      <c r="D3340" s="1058"/>
      <c r="E3340" s="1058"/>
      <c r="F3340" s="1066"/>
      <c r="G3340" s="1059"/>
      <c r="H3340" s="1067"/>
      <c r="I3340" s="1059"/>
      <c r="J3340" s="1068"/>
      <c r="K3340" s="1064"/>
      <c r="L3340" s="1069"/>
      <c r="M3340" s="1069"/>
      <c r="N3340" s="1069"/>
      <c r="O3340" s="1070"/>
      <c r="P3340" s="1071"/>
      <c r="Q3340" s="1058"/>
      <c r="R3340" s="1063"/>
    </row>
    <row r="3341" spans="1:18" s="90" customFormat="1">
      <c r="A3341" s="1058"/>
      <c r="B3341" s="1064"/>
      <c r="C3341" s="1058"/>
      <c r="D3341" s="1058"/>
      <c r="E3341" s="1058"/>
      <c r="F3341" s="1066"/>
      <c r="G3341" s="1059"/>
      <c r="H3341" s="1067"/>
      <c r="I3341" s="1059"/>
      <c r="J3341" s="1068"/>
      <c r="K3341" s="1064"/>
      <c r="L3341" s="1069"/>
      <c r="M3341" s="1069"/>
      <c r="N3341" s="1069"/>
      <c r="O3341" s="1070"/>
      <c r="P3341" s="1071"/>
      <c r="Q3341" s="1058"/>
      <c r="R3341" s="1063"/>
    </row>
    <row r="3342" spans="1:18" s="90" customFormat="1">
      <c r="A3342" s="1058"/>
      <c r="B3342" s="1064"/>
      <c r="C3342" s="1058"/>
      <c r="D3342" s="1058"/>
      <c r="E3342" s="1058"/>
      <c r="F3342" s="1066"/>
      <c r="G3342" s="1059"/>
      <c r="H3342" s="1067"/>
      <c r="I3342" s="1059"/>
      <c r="J3342" s="1068"/>
      <c r="K3342" s="1064"/>
      <c r="L3342" s="1069"/>
      <c r="M3342" s="1069"/>
      <c r="N3342" s="1069"/>
      <c r="O3342" s="1070"/>
      <c r="P3342" s="1071"/>
      <c r="Q3342" s="1058"/>
      <c r="R3342" s="1063"/>
    </row>
    <row r="3343" spans="1:18" s="90" customFormat="1">
      <c r="A3343" s="1058"/>
      <c r="B3343" s="1064"/>
      <c r="C3343" s="1058"/>
      <c r="D3343" s="1058"/>
      <c r="E3343" s="1058"/>
      <c r="F3343" s="1066"/>
      <c r="G3343" s="1059"/>
      <c r="H3343" s="1067"/>
      <c r="I3343" s="1059"/>
      <c r="J3343" s="1068"/>
      <c r="K3343" s="1064"/>
      <c r="L3343" s="1069"/>
      <c r="M3343" s="1069"/>
      <c r="N3343" s="1069"/>
      <c r="O3343" s="1070"/>
      <c r="P3343" s="1071"/>
      <c r="Q3343" s="1058"/>
      <c r="R3343" s="1063"/>
    </row>
    <row r="3344" spans="1:18" s="90" customFormat="1">
      <c r="A3344" s="1058"/>
      <c r="B3344" s="1064"/>
      <c r="C3344" s="1058"/>
      <c r="D3344" s="1058"/>
      <c r="E3344" s="1058"/>
      <c r="F3344" s="1066"/>
      <c r="G3344" s="1059"/>
      <c r="H3344" s="1067"/>
      <c r="I3344" s="1059"/>
      <c r="J3344" s="1068"/>
      <c r="K3344" s="1064"/>
      <c r="L3344" s="1069"/>
      <c r="M3344" s="1069"/>
      <c r="N3344" s="1069"/>
      <c r="O3344" s="1070"/>
      <c r="P3344" s="1071"/>
      <c r="Q3344" s="1058"/>
      <c r="R3344" s="1063"/>
    </row>
    <row r="3345" spans="1:18">
      <c r="A3345" s="1058" t="s">
        <v>668</v>
      </c>
      <c r="B3345" s="1072">
        <f ca="1">+H420</f>
        <v>169069.27882500051</v>
      </c>
      <c r="C3345" s="1065">
        <f>+F417</f>
        <v>0</v>
      </c>
      <c r="D3345" s="1058"/>
      <c r="E3345" s="1058">
        <f>+E3265+1</f>
        <v>15</v>
      </c>
      <c r="F3345" s="1073"/>
      <c r="G3345" s="1074" t="s">
        <v>98</v>
      </c>
      <c r="H3345" s="1067">
        <f>+H3265</f>
        <v>44181</v>
      </c>
      <c r="I3345" s="1059">
        <f>+I3265</f>
        <v>450</v>
      </c>
      <c r="J3345" s="1068">
        <f t="shared" si="90"/>
        <v>44631</v>
      </c>
      <c r="K3345" s="1064">
        <f t="shared" ca="1" si="91"/>
        <v>169069.27882500051</v>
      </c>
      <c r="L3345" s="1069">
        <v>4</v>
      </c>
      <c r="M3345" s="1069">
        <f ca="1">+K3345*L3345/100</f>
        <v>6762.7711530000206</v>
      </c>
      <c r="N3345" s="1069">
        <f ca="1">+K3345+M3345</f>
        <v>175832.04997800052</v>
      </c>
      <c r="O3345" s="1070">
        <f ca="1">IF(+TODAY()&gt;=J3345,0,+M3345)</f>
        <v>6762.7711530000206</v>
      </c>
      <c r="P3345" s="1071">
        <f ca="1">+O3345</f>
        <v>6762.7711530000206</v>
      </c>
      <c r="Q3345" s="1058"/>
      <c r="R3345" s="1063"/>
    </row>
    <row r="3346" spans="1:18" s="90" customFormat="1">
      <c r="A3346" s="1058"/>
      <c r="B3346" s="1072"/>
      <c r="C3346" s="1065"/>
      <c r="D3346" s="1058"/>
      <c r="E3346" s="1058"/>
      <c r="F3346" s="1073"/>
      <c r="G3346" s="1074"/>
      <c r="H3346" s="1067"/>
      <c r="I3346" s="1059"/>
      <c r="J3346" s="1068"/>
      <c r="K3346" s="1064"/>
      <c r="L3346" s="1069"/>
      <c r="M3346" s="1069"/>
      <c r="N3346" s="1069"/>
      <c r="O3346" s="1070"/>
      <c r="P3346" s="1071"/>
      <c r="Q3346" s="1058"/>
      <c r="R3346" s="1063"/>
    </row>
    <row r="3347" spans="1:18" s="90" customFormat="1">
      <c r="A3347" s="1058"/>
      <c r="B3347" s="1072"/>
      <c r="C3347" s="1065"/>
      <c r="D3347" s="1058"/>
      <c r="E3347" s="1058"/>
      <c r="F3347" s="1073"/>
      <c r="G3347" s="1074"/>
      <c r="H3347" s="1067"/>
      <c r="I3347" s="1059"/>
      <c r="J3347" s="1068"/>
      <c r="K3347" s="1064"/>
      <c r="L3347" s="1069"/>
      <c r="M3347" s="1069"/>
      <c r="N3347" s="1069"/>
      <c r="O3347" s="1070"/>
      <c r="P3347" s="1071"/>
      <c r="Q3347" s="1058"/>
      <c r="R3347" s="1063"/>
    </row>
    <row r="3348" spans="1:18" s="90" customFormat="1">
      <c r="A3348" s="1058"/>
      <c r="B3348" s="1072"/>
      <c r="C3348" s="1065"/>
      <c r="D3348" s="1058"/>
      <c r="E3348" s="1058"/>
      <c r="F3348" s="1073"/>
      <c r="G3348" s="1074"/>
      <c r="H3348" s="1067"/>
      <c r="I3348" s="1059"/>
      <c r="J3348" s="1068"/>
      <c r="K3348" s="1064"/>
      <c r="L3348" s="1069"/>
      <c r="M3348" s="1069"/>
      <c r="N3348" s="1069"/>
      <c r="O3348" s="1070"/>
      <c r="P3348" s="1071"/>
      <c r="Q3348" s="1058"/>
      <c r="R3348" s="1063"/>
    </row>
    <row r="3349" spans="1:18" s="90" customFormat="1">
      <c r="A3349" s="1058"/>
      <c r="B3349" s="1072"/>
      <c r="C3349" s="1065"/>
      <c r="D3349" s="1058"/>
      <c r="E3349" s="1058"/>
      <c r="F3349" s="1073"/>
      <c r="G3349" s="1074"/>
      <c r="H3349" s="1067"/>
      <c r="I3349" s="1059"/>
      <c r="J3349" s="1068"/>
      <c r="K3349" s="1064"/>
      <c r="L3349" s="1069"/>
      <c r="M3349" s="1069"/>
      <c r="N3349" s="1069"/>
      <c r="O3349" s="1070"/>
      <c r="P3349" s="1071"/>
      <c r="Q3349" s="1058"/>
      <c r="R3349" s="1063"/>
    </row>
    <row r="3350" spans="1:18" s="90" customFormat="1">
      <c r="A3350" s="1058"/>
      <c r="B3350" s="1072"/>
      <c r="C3350" s="1065"/>
      <c r="D3350" s="1058"/>
      <c r="E3350" s="1058"/>
      <c r="F3350" s="1073"/>
      <c r="G3350" s="1074"/>
      <c r="H3350" s="1067"/>
      <c r="I3350" s="1059"/>
      <c r="J3350" s="1068"/>
      <c r="K3350" s="1064"/>
      <c r="L3350" s="1069"/>
      <c r="M3350" s="1069"/>
      <c r="N3350" s="1069"/>
      <c r="O3350" s="1070"/>
      <c r="P3350" s="1071"/>
      <c r="Q3350" s="1058"/>
      <c r="R3350" s="1063"/>
    </row>
    <row r="3351" spans="1:18" s="90" customFormat="1">
      <c r="A3351" s="1058"/>
      <c r="B3351" s="1072"/>
      <c r="C3351" s="1065"/>
      <c r="D3351" s="1058"/>
      <c r="E3351" s="1058"/>
      <c r="F3351" s="1073"/>
      <c r="G3351" s="1074"/>
      <c r="H3351" s="1067"/>
      <c r="I3351" s="1059"/>
      <c r="J3351" s="1068"/>
      <c r="K3351" s="1064"/>
      <c r="L3351" s="1069"/>
      <c r="M3351" s="1069"/>
      <c r="N3351" s="1069"/>
      <c r="O3351" s="1070"/>
      <c r="P3351" s="1071"/>
      <c r="Q3351" s="1058"/>
      <c r="R3351" s="1063"/>
    </row>
    <row r="3352" spans="1:18" s="90" customFormat="1">
      <c r="A3352" s="1058"/>
      <c r="B3352" s="1072"/>
      <c r="C3352" s="1065"/>
      <c r="D3352" s="1058"/>
      <c r="E3352" s="1058"/>
      <c r="F3352" s="1073"/>
      <c r="G3352" s="1074"/>
      <c r="H3352" s="1067"/>
      <c r="I3352" s="1059"/>
      <c r="J3352" s="1068"/>
      <c r="K3352" s="1064"/>
      <c r="L3352" s="1069"/>
      <c r="M3352" s="1069"/>
      <c r="N3352" s="1069"/>
      <c r="O3352" s="1070"/>
      <c r="P3352" s="1071"/>
      <c r="Q3352" s="1058"/>
      <c r="R3352" s="1063"/>
    </row>
    <row r="3353" spans="1:18" s="90" customFormat="1">
      <c r="A3353" s="1058"/>
      <c r="B3353" s="1072"/>
      <c r="C3353" s="1065"/>
      <c r="D3353" s="1058"/>
      <c r="E3353" s="1058"/>
      <c r="F3353" s="1073"/>
      <c r="G3353" s="1074"/>
      <c r="H3353" s="1067"/>
      <c r="I3353" s="1059"/>
      <c r="J3353" s="1068"/>
      <c r="K3353" s="1064"/>
      <c r="L3353" s="1069"/>
      <c r="M3353" s="1069"/>
      <c r="N3353" s="1069"/>
      <c r="O3353" s="1070"/>
      <c r="P3353" s="1071"/>
      <c r="Q3353" s="1058"/>
      <c r="R3353" s="1063"/>
    </row>
    <row r="3354" spans="1:18" s="90" customFormat="1">
      <c r="A3354" s="1058"/>
      <c r="B3354" s="1072"/>
      <c r="C3354" s="1065"/>
      <c r="D3354" s="1058"/>
      <c r="E3354" s="1058"/>
      <c r="F3354" s="1073"/>
      <c r="G3354" s="1074"/>
      <c r="H3354" s="1067"/>
      <c r="I3354" s="1059"/>
      <c r="J3354" s="1068"/>
      <c r="K3354" s="1064"/>
      <c r="L3354" s="1069"/>
      <c r="M3354" s="1069"/>
      <c r="N3354" s="1069"/>
      <c r="O3354" s="1070"/>
      <c r="P3354" s="1071"/>
      <c r="Q3354" s="1058"/>
      <c r="R3354" s="1063"/>
    </row>
    <row r="3355" spans="1:18" s="90" customFormat="1">
      <c r="A3355" s="1058"/>
      <c r="B3355" s="1072"/>
      <c r="C3355" s="1065"/>
      <c r="D3355" s="1058"/>
      <c r="E3355" s="1058"/>
      <c r="F3355" s="1073"/>
      <c r="G3355" s="1074"/>
      <c r="H3355" s="1067"/>
      <c r="I3355" s="1059"/>
      <c r="J3355" s="1068"/>
      <c r="K3355" s="1064"/>
      <c r="L3355" s="1069"/>
      <c r="M3355" s="1069"/>
      <c r="N3355" s="1069"/>
      <c r="O3355" s="1070"/>
      <c r="P3355" s="1071"/>
      <c r="Q3355" s="1058"/>
      <c r="R3355" s="1063"/>
    </row>
    <row r="3356" spans="1:18" s="90" customFormat="1">
      <c r="A3356" s="1058"/>
      <c r="B3356" s="1072"/>
      <c r="C3356" s="1065"/>
      <c r="D3356" s="1058"/>
      <c r="E3356" s="1058"/>
      <c r="F3356" s="1073"/>
      <c r="G3356" s="1074"/>
      <c r="H3356" s="1067"/>
      <c r="I3356" s="1059"/>
      <c r="J3356" s="1068"/>
      <c r="K3356" s="1064"/>
      <c r="L3356" s="1069"/>
      <c r="M3356" s="1069"/>
      <c r="N3356" s="1069"/>
      <c r="O3356" s="1070"/>
      <c r="P3356" s="1071"/>
      <c r="Q3356" s="1058"/>
      <c r="R3356" s="1063"/>
    </row>
    <row r="3357" spans="1:18" s="90" customFormat="1">
      <c r="A3357" s="1058"/>
      <c r="B3357" s="1072"/>
      <c r="C3357" s="1065"/>
      <c r="D3357" s="1058"/>
      <c r="E3357" s="1058"/>
      <c r="F3357" s="1073"/>
      <c r="G3357" s="1074"/>
      <c r="H3357" s="1067"/>
      <c r="I3357" s="1059"/>
      <c r="J3357" s="1068"/>
      <c r="K3357" s="1064"/>
      <c r="L3357" s="1069"/>
      <c r="M3357" s="1069"/>
      <c r="N3357" s="1069"/>
      <c r="O3357" s="1070"/>
      <c r="P3357" s="1071"/>
      <c r="Q3357" s="1058"/>
      <c r="R3357" s="1063"/>
    </row>
    <row r="3358" spans="1:18" s="90" customFormat="1">
      <c r="A3358" s="1058"/>
      <c r="B3358" s="1072"/>
      <c r="C3358" s="1065"/>
      <c r="D3358" s="1058"/>
      <c r="E3358" s="1058"/>
      <c r="F3358" s="1073"/>
      <c r="G3358" s="1074"/>
      <c r="H3358" s="1067"/>
      <c r="I3358" s="1059"/>
      <c r="J3358" s="1068"/>
      <c r="K3358" s="1064"/>
      <c r="L3358" s="1069"/>
      <c r="M3358" s="1069"/>
      <c r="N3358" s="1069"/>
      <c r="O3358" s="1070"/>
      <c r="P3358" s="1071"/>
      <c r="Q3358" s="1058"/>
      <c r="R3358" s="1063"/>
    </row>
    <row r="3359" spans="1:18" s="90" customFormat="1">
      <c r="A3359" s="1058"/>
      <c r="B3359" s="1072"/>
      <c r="C3359" s="1065"/>
      <c r="D3359" s="1058"/>
      <c r="E3359" s="1058"/>
      <c r="F3359" s="1073"/>
      <c r="G3359" s="1074"/>
      <c r="H3359" s="1067"/>
      <c r="I3359" s="1059"/>
      <c r="J3359" s="1068"/>
      <c r="K3359" s="1064"/>
      <c r="L3359" s="1069"/>
      <c r="M3359" s="1069"/>
      <c r="N3359" s="1069"/>
      <c r="O3359" s="1070"/>
      <c r="P3359" s="1071"/>
      <c r="Q3359" s="1058"/>
      <c r="R3359" s="1063"/>
    </row>
    <row r="3360" spans="1:18" s="90" customFormat="1">
      <c r="A3360" s="1058"/>
      <c r="B3360" s="1072"/>
      <c r="C3360" s="1065"/>
      <c r="D3360" s="1058"/>
      <c r="E3360" s="1058"/>
      <c r="F3360" s="1073"/>
      <c r="G3360" s="1074"/>
      <c r="H3360" s="1067"/>
      <c r="I3360" s="1059"/>
      <c r="J3360" s="1068"/>
      <c r="K3360" s="1064"/>
      <c r="L3360" s="1069"/>
      <c r="M3360" s="1069"/>
      <c r="N3360" s="1069"/>
      <c r="O3360" s="1070"/>
      <c r="P3360" s="1071"/>
      <c r="Q3360" s="1058"/>
      <c r="R3360" s="1063"/>
    </row>
    <row r="3361" spans="1:18" s="90" customFormat="1">
      <c r="A3361" s="1058"/>
      <c r="B3361" s="1072"/>
      <c r="C3361" s="1065"/>
      <c r="D3361" s="1058"/>
      <c r="E3361" s="1058"/>
      <c r="F3361" s="1073"/>
      <c r="G3361" s="1074"/>
      <c r="H3361" s="1067"/>
      <c r="I3361" s="1059"/>
      <c r="J3361" s="1068"/>
      <c r="K3361" s="1064"/>
      <c r="L3361" s="1069"/>
      <c r="M3361" s="1069"/>
      <c r="N3361" s="1069"/>
      <c r="O3361" s="1070"/>
      <c r="P3361" s="1071"/>
      <c r="Q3361" s="1058"/>
      <c r="R3361" s="1063"/>
    </row>
    <row r="3362" spans="1:18" s="90" customFormat="1">
      <c r="A3362" s="1058"/>
      <c r="B3362" s="1072"/>
      <c r="C3362" s="1065"/>
      <c r="D3362" s="1058"/>
      <c r="E3362" s="1058"/>
      <c r="F3362" s="1073"/>
      <c r="G3362" s="1074"/>
      <c r="H3362" s="1067"/>
      <c r="I3362" s="1059"/>
      <c r="J3362" s="1068"/>
      <c r="K3362" s="1064"/>
      <c r="L3362" s="1069"/>
      <c r="M3362" s="1069"/>
      <c r="N3362" s="1069"/>
      <c r="O3362" s="1070"/>
      <c r="P3362" s="1071"/>
      <c r="Q3362" s="1058"/>
      <c r="R3362" s="1063"/>
    </row>
    <row r="3363" spans="1:18" s="90" customFormat="1">
      <c r="A3363" s="1058"/>
      <c r="B3363" s="1072"/>
      <c r="C3363" s="1065"/>
      <c r="D3363" s="1058"/>
      <c r="E3363" s="1058"/>
      <c r="F3363" s="1073"/>
      <c r="G3363" s="1074"/>
      <c r="H3363" s="1067"/>
      <c r="I3363" s="1059"/>
      <c r="J3363" s="1068"/>
      <c r="K3363" s="1064"/>
      <c r="L3363" s="1069"/>
      <c r="M3363" s="1069"/>
      <c r="N3363" s="1069"/>
      <c r="O3363" s="1070"/>
      <c r="P3363" s="1071"/>
      <c r="Q3363" s="1058"/>
      <c r="R3363" s="1063"/>
    </row>
    <row r="3364" spans="1:18" s="90" customFormat="1">
      <c r="A3364" s="1058"/>
      <c r="B3364" s="1072"/>
      <c r="C3364" s="1065"/>
      <c r="D3364" s="1058"/>
      <c r="E3364" s="1058"/>
      <c r="F3364" s="1073"/>
      <c r="G3364" s="1074"/>
      <c r="H3364" s="1067"/>
      <c r="I3364" s="1059"/>
      <c r="J3364" s="1068"/>
      <c r="K3364" s="1064"/>
      <c r="L3364" s="1069"/>
      <c r="M3364" s="1069"/>
      <c r="N3364" s="1069"/>
      <c r="O3364" s="1070"/>
      <c r="P3364" s="1071"/>
      <c r="Q3364" s="1058"/>
      <c r="R3364" s="1063"/>
    </row>
    <row r="3365" spans="1:18" s="90" customFormat="1">
      <c r="A3365" s="1058"/>
      <c r="B3365" s="1072"/>
      <c r="C3365" s="1065"/>
      <c r="D3365" s="1058"/>
      <c r="E3365" s="1058"/>
      <c r="F3365" s="1073"/>
      <c r="G3365" s="1074"/>
      <c r="H3365" s="1067"/>
      <c r="I3365" s="1059"/>
      <c r="J3365" s="1068"/>
      <c r="K3365" s="1064"/>
      <c r="L3365" s="1069"/>
      <c r="M3365" s="1069"/>
      <c r="N3365" s="1069"/>
      <c r="O3365" s="1070"/>
      <c r="P3365" s="1071"/>
      <c r="Q3365" s="1058"/>
      <c r="R3365" s="1063"/>
    </row>
    <row r="3366" spans="1:18" s="90" customFormat="1">
      <c r="A3366" s="1058"/>
      <c r="B3366" s="1072"/>
      <c r="C3366" s="1065"/>
      <c r="D3366" s="1058"/>
      <c r="E3366" s="1058"/>
      <c r="F3366" s="1073"/>
      <c r="G3366" s="1074"/>
      <c r="H3366" s="1067"/>
      <c r="I3366" s="1059"/>
      <c r="J3366" s="1068"/>
      <c r="K3366" s="1064"/>
      <c r="L3366" s="1069"/>
      <c r="M3366" s="1069"/>
      <c r="N3366" s="1069"/>
      <c r="O3366" s="1070"/>
      <c r="P3366" s="1071"/>
      <c r="Q3366" s="1058"/>
      <c r="R3366" s="1063"/>
    </row>
    <row r="3367" spans="1:18" s="90" customFormat="1">
      <c r="A3367" s="1058"/>
      <c r="B3367" s="1072"/>
      <c r="C3367" s="1065"/>
      <c r="D3367" s="1058"/>
      <c r="E3367" s="1058"/>
      <c r="F3367" s="1073"/>
      <c r="G3367" s="1074"/>
      <c r="H3367" s="1067"/>
      <c r="I3367" s="1059"/>
      <c r="J3367" s="1068"/>
      <c r="K3367" s="1064"/>
      <c r="L3367" s="1069"/>
      <c r="M3367" s="1069"/>
      <c r="N3367" s="1069"/>
      <c r="O3367" s="1070"/>
      <c r="P3367" s="1071"/>
      <c r="Q3367" s="1058"/>
      <c r="R3367" s="1063"/>
    </row>
    <row r="3368" spans="1:18" s="90" customFormat="1">
      <c r="A3368" s="1058"/>
      <c r="B3368" s="1072"/>
      <c r="C3368" s="1065"/>
      <c r="D3368" s="1058"/>
      <c r="E3368" s="1058"/>
      <c r="F3368" s="1073"/>
      <c r="G3368" s="1074"/>
      <c r="H3368" s="1067"/>
      <c r="I3368" s="1059"/>
      <c r="J3368" s="1068"/>
      <c r="K3368" s="1064"/>
      <c r="L3368" s="1069"/>
      <c r="M3368" s="1069"/>
      <c r="N3368" s="1069"/>
      <c r="O3368" s="1070"/>
      <c r="P3368" s="1071"/>
      <c r="Q3368" s="1058"/>
      <c r="R3368" s="1063"/>
    </row>
    <row r="3369" spans="1:18" s="90" customFormat="1">
      <c r="A3369" s="1058"/>
      <c r="B3369" s="1072"/>
      <c r="C3369" s="1065"/>
      <c r="D3369" s="1058"/>
      <c r="E3369" s="1058"/>
      <c r="F3369" s="1073"/>
      <c r="G3369" s="1074"/>
      <c r="H3369" s="1067"/>
      <c r="I3369" s="1059"/>
      <c r="J3369" s="1068"/>
      <c r="K3369" s="1064"/>
      <c r="L3369" s="1069"/>
      <c r="M3369" s="1069"/>
      <c r="N3369" s="1069"/>
      <c r="O3369" s="1070"/>
      <c r="P3369" s="1071"/>
      <c r="Q3369" s="1058"/>
      <c r="R3369" s="1063"/>
    </row>
    <row r="3370" spans="1:18" s="90" customFormat="1">
      <c r="A3370" s="1058"/>
      <c r="B3370" s="1072"/>
      <c r="C3370" s="1065"/>
      <c r="D3370" s="1058"/>
      <c r="E3370" s="1058"/>
      <c r="F3370" s="1073"/>
      <c r="G3370" s="1074"/>
      <c r="H3370" s="1067"/>
      <c r="I3370" s="1059"/>
      <c r="J3370" s="1068"/>
      <c r="K3370" s="1064"/>
      <c r="L3370" s="1069"/>
      <c r="M3370" s="1069"/>
      <c r="N3370" s="1069"/>
      <c r="O3370" s="1070"/>
      <c r="P3370" s="1071"/>
      <c r="Q3370" s="1058"/>
      <c r="R3370" s="1063"/>
    </row>
    <row r="3371" spans="1:18" s="90" customFormat="1">
      <c r="A3371" s="1058"/>
      <c r="B3371" s="1072"/>
      <c r="C3371" s="1065"/>
      <c r="D3371" s="1058"/>
      <c r="E3371" s="1058"/>
      <c r="F3371" s="1073"/>
      <c r="G3371" s="1074"/>
      <c r="H3371" s="1067"/>
      <c r="I3371" s="1059"/>
      <c r="J3371" s="1068"/>
      <c r="K3371" s="1064"/>
      <c r="L3371" s="1069"/>
      <c r="M3371" s="1069"/>
      <c r="N3371" s="1069"/>
      <c r="O3371" s="1070"/>
      <c r="P3371" s="1071"/>
      <c r="Q3371" s="1058"/>
      <c r="R3371" s="1063"/>
    </row>
    <row r="3372" spans="1:18" s="90" customFormat="1">
      <c r="A3372" s="1058"/>
      <c r="B3372" s="1072"/>
      <c r="C3372" s="1065"/>
      <c r="D3372" s="1058"/>
      <c r="E3372" s="1058"/>
      <c r="F3372" s="1073"/>
      <c r="G3372" s="1074"/>
      <c r="H3372" s="1067"/>
      <c r="I3372" s="1059"/>
      <c r="J3372" s="1068"/>
      <c r="K3372" s="1064"/>
      <c r="L3372" s="1069"/>
      <c r="M3372" s="1069"/>
      <c r="N3372" s="1069"/>
      <c r="O3372" s="1070"/>
      <c r="P3372" s="1071"/>
      <c r="Q3372" s="1058"/>
      <c r="R3372" s="1063"/>
    </row>
    <row r="3373" spans="1:18" s="90" customFormat="1">
      <c r="A3373" s="1058"/>
      <c r="B3373" s="1072"/>
      <c r="C3373" s="1065"/>
      <c r="D3373" s="1058"/>
      <c r="E3373" s="1058"/>
      <c r="F3373" s="1073"/>
      <c r="G3373" s="1074"/>
      <c r="H3373" s="1067"/>
      <c r="I3373" s="1059"/>
      <c r="J3373" s="1068"/>
      <c r="K3373" s="1064"/>
      <c r="L3373" s="1069"/>
      <c r="M3373" s="1069"/>
      <c r="N3373" s="1069"/>
      <c r="O3373" s="1070"/>
      <c r="P3373" s="1071"/>
      <c r="Q3373" s="1058"/>
      <c r="R3373" s="1063"/>
    </row>
    <row r="3374" spans="1:18" s="90" customFormat="1">
      <c r="A3374" s="1058"/>
      <c r="B3374" s="1072"/>
      <c r="C3374" s="1065"/>
      <c r="D3374" s="1058"/>
      <c r="E3374" s="1058"/>
      <c r="F3374" s="1073"/>
      <c r="G3374" s="1074"/>
      <c r="H3374" s="1067"/>
      <c r="I3374" s="1059"/>
      <c r="J3374" s="1068"/>
      <c r="K3374" s="1064"/>
      <c r="L3374" s="1069"/>
      <c r="M3374" s="1069"/>
      <c r="N3374" s="1069"/>
      <c r="O3374" s="1070"/>
      <c r="P3374" s="1071"/>
      <c r="Q3374" s="1058"/>
      <c r="R3374" s="1063"/>
    </row>
    <row r="3375" spans="1:18" s="90" customFormat="1">
      <c r="A3375" s="1058"/>
      <c r="B3375" s="1072"/>
      <c r="C3375" s="1065"/>
      <c r="D3375" s="1058"/>
      <c r="E3375" s="1058"/>
      <c r="F3375" s="1073"/>
      <c r="G3375" s="1074"/>
      <c r="H3375" s="1067"/>
      <c r="I3375" s="1059"/>
      <c r="J3375" s="1068"/>
      <c r="K3375" s="1064"/>
      <c r="L3375" s="1069"/>
      <c r="M3375" s="1069"/>
      <c r="N3375" s="1069"/>
      <c r="O3375" s="1070"/>
      <c r="P3375" s="1071"/>
      <c r="Q3375" s="1058"/>
      <c r="R3375" s="1063"/>
    </row>
    <row r="3376" spans="1:18" s="90" customFormat="1">
      <c r="A3376" s="1058"/>
      <c r="B3376" s="1072"/>
      <c r="C3376" s="1065"/>
      <c r="D3376" s="1058"/>
      <c r="E3376" s="1058"/>
      <c r="F3376" s="1073"/>
      <c r="G3376" s="1074"/>
      <c r="H3376" s="1067"/>
      <c r="I3376" s="1059"/>
      <c r="J3376" s="1068"/>
      <c r="K3376" s="1064"/>
      <c r="L3376" s="1069"/>
      <c r="M3376" s="1069"/>
      <c r="N3376" s="1069"/>
      <c r="O3376" s="1070"/>
      <c r="P3376" s="1071"/>
      <c r="Q3376" s="1058"/>
      <c r="R3376" s="1063"/>
    </row>
    <row r="3377" spans="1:18" s="90" customFormat="1">
      <c r="A3377" s="1058"/>
      <c r="B3377" s="1072"/>
      <c r="C3377" s="1065"/>
      <c r="D3377" s="1058"/>
      <c r="E3377" s="1058"/>
      <c r="F3377" s="1073"/>
      <c r="G3377" s="1074"/>
      <c r="H3377" s="1067"/>
      <c r="I3377" s="1059"/>
      <c r="J3377" s="1068"/>
      <c r="K3377" s="1064"/>
      <c r="L3377" s="1069"/>
      <c r="M3377" s="1069"/>
      <c r="N3377" s="1069"/>
      <c r="O3377" s="1070"/>
      <c r="P3377" s="1071"/>
      <c r="Q3377" s="1058"/>
      <c r="R3377" s="1063"/>
    </row>
    <row r="3378" spans="1:18" s="90" customFormat="1">
      <c r="A3378" s="1058"/>
      <c r="B3378" s="1072"/>
      <c r="C3378" s="1065"/>
      <c r="D3378" s="1058"/>
      <c r="E3378" s="1058"/>
      <c r="F3378" s="1073"/>
      <c r="G3378" s="1074"/>
      <c r="H3378" s="1067"/>
      <c r="I3378" s="1059"/>
      <c r="J3378" s="1068"/>
      <c r="K3378" s="1064"/>
      <c r="L3378" s="1069"/>
      <c r="M3378" s="1069"/>
      <c r="N3378" s="1069"/>
      <c r="O3378" s="1070"/>
      <c r="P3378" s="1071"/>
      <c r="Q3378" s="1058"/>
      <c r="R3378" s="1063"/>
    </row>
    <row r="3379" spans="1:18" s="90" customFormat="1">
      <c r="A3379" s="1058"/>
      <c r="B3379" s="1072"/>
      <c r="C3379" s="1065"/>
      <c r="D3379" s="1058"/>
      <c r="E3379" s="1058"/>
      <c r="F3379" s="1073"/>
      <c r="G3379" s="1074"/>
      <c r="H3379" s="1067"/>
      <c r="I3379" s="1059"/>
      <c r="J3379" s="1068"/>
      <c r="K3379" s="1064"/>
      <c r="L3379" s="1069"/>
      <c r="M3379" s="1069"/>
      <c r="N3379" s="1069"/>
      <c r="O3379" s="1070"/>
      <c r="P3379" s="1071"/>
      <c r="Q3379" s="1058"/>
      <c r="R3379" s="1063"/>
    </row>
    <row r="3380" spans="1:18" s="90" customFormat="1">
      <c r="A3380" s="1058"/>
      <c r="B3380" s="1072"/>
      <c r="C3380" s="1065"/>
      <c r="D3380" s="1058"/>
      <c r="E3380" s="1058"/>
      <c r="F3380" s="1073"/>
      <c r="G3380" s="1074"/>
      <c r="H3380" s="1067"/>
      <c r="I3380" s="1059"/>
      <c r="J3380" s="1068"/>
      <c r="K3380" s="1064"/>
      <c r="L3380" s="1069"/>
      <c r="M3380" s="1069"/>
      <c r="N3380" s="1069"/>
      <c r="O3380" s="1070"/>
      <c r="P3380" s="1071"/>
      <c r="Q3380" s="1058"/>
      <c r="R3380" s="1063"/>
    </row>
    <row r="3381" spans="1:18" s="90" customFormat="1">
      <c r="A3381" s="1058"/>
      <c r="B3381" s="1072"/>
      <c r="C3381" s="1065"/>
      <c r="D3381" s="1058"/>
      <c r="E3381" s="1058"/>
      <c r="F3381" s="1073"/>
      <c r="G3381" s="1074"/>
      <c r="H3381" s="1067"/>
      <c r="I3381" s="1059"/>
      <c r="J3381" s="1068"/>
      <c r="K3381" s="1064"/>
      <c r="L3381" s="1069"/>
      <c r="M3381" s="1069"/>
      <c r="N3381" s="1069"/>
      <c r="O3381" s="1070"/>
      <c r="P3381" s="1071"/>
      <c r="Q3381" s="1058"/>
      <c r="R3381" s="1063"/>
    </row>
    <row r="3382" spans="1:18" s="90" customFormat="1">
      <c r="A3382" s="1058"/>
      <c r="B3382" s="1072"/>
      <c r="C3382" s="1065"/>
      <c r="D3382" s="1058"/>
      <c r="E3382" s="1058"/>
      <c r="F3382" s="1073"/>
      <c r="G3382" s="1074"/>
      <c r="H3382" s="1067"/>
      <c r="I3382" s="1059"/>
      <c r="J3382" s="1068"/>
      <c r="K3382" s="1064"/>
      <c r="L3382" s="1069"/>
      <c r="M3382" s="1069"/>
      <c r="N3382" s="1069"/>
      <c r="O3382" s="1070"/>
      <c r="P3382" s="1071"/>
      <c r="Q3382" s="1058"/>
      <c r="R3382" s="1063"/>
    </row>
    <row r="3383" spans="1:18" s="90" customFormat="1">
      <c r="A3383" s="1058"/>
      <c r="B3383" s="1072"/>
      <c r="C3383" s="1065"/>
      <c r="D3383" s="1058"/>
      <c r="E3383" s="1058"/>
      <c r="F3383" s="1073"/>
      <c r="G3383" s="1074"/>
      <c r="H3383" s="1067"/>
      <c r="I3383" s="1059"/>
      <c r="J3383" s="1068"/>
      <c r="K3383" s="1064"/>
      <c r="L3383" s="1069"/>
      <c r="M3383" s="1069"/>
      <c r="N3383" s="1069"/>
      <c r="O3383" s="1070"/>
      <c r="P3383" s="1071"/>
      <c r="Q3383" s="1058"/>
      <c r="R3383" s="1063"/>
    </row>
    <row r="3384" spans="1:18" s="90" customFormat="1">
      <c r="A3384" s="1058"/>
      <c r="B3384" s="1072"/>
      <c r="C3384" s="1065"/>
      <c r="D3384" s="1058"/>
      <c r="E3384" s="1058"/>
      <c r="F3384" s="1073"/>
      <c r="G3384" s="1074"/>
      <c r="H3384" s="1067"/>
      <c r="I3384" s="1059"/>
      <c r="J3384" s="1068"/>
      <c r="K3384" s="1064"/>
      <c r="L3384" s="1069"/>
      <c r="M3384" s="1069"/>
      <c r="N3384" s="1069"/>
      <c r="O3384" s="1070"/>
      <c r="P3384" s="1071"/>
      <c r="Q3384" s="1058"/>
      <c r="R3384" s="1063"/>
    </row>
    <row r="3385" spans="1:18" s="90" customFormat="1">
      <c r="A3385" s="1058"/>
      <c r="B3385" s="1072"/>
      <c r="C3385" s="1065"/>
      <c r="D3385" s="1058"/>
      <c r="E3385" s="1058"/>
      <c r="F3385" s="1073"/>
      <c r="G3385" s="1074"/>
      <c r="H3385" s="1067"/>
      <c r="I3385" s="1059"/>
      <c r="J3385" s="1068"/>
      <c r="K3385" s="1064"/>
      <c r="L3385" s="1069"/>
      <c r="M3385" s="1069"/>
      <c r="N3385" s="1069"/>
      <c r="O3385" s="1070"/>
      <c r="P3385" s="1071"/>
      <c r="Q3385" s="1058"/>
      <c r="R3385" s="1063"/>
    </row>
    <row r="3386" spans="1:18" s="90" customFormat="1">
      <c r="A3386" s="1058"/>
      <c r="B3386" s="1072"/>
      <c r="C3386" s="1065"/>
      <c r="D3386" s="1058"/>
      <c r="E3386" s="1058"/>
      <c r="F3386" s="1073"/>
      <c r="G3386" s="1074"/>
      <c r="H3386" s="1067"/>
      <c r="I3386" s="1059"/>
      <c r="J3386" s="1068"/>
      <c r="K3386" s="1064"/>
      <c r="L3386" s="1069"/>
      <c r="M3386" s="1069"/>
      <c r="N3386" s="1069"/>
      <c r="O3386" s="1070"/>
      <c r="P3386" s="1071"/>
      <c r="Q3386" s="1058"/>
      <c r="R3386" s="1063"/>
    </row>
    <row r="3387" spans="1:18" s="90" customFormat="1">
      <c r="A3387" s="1058"/>
      <c r="B3387" s="1072"/>
      <c r="C3387" s="1065"/>
      <c r="D3387" s="1058"/>
      <c r="E3387" s="1058"/>
      <c r="F3387" s="1073"/>
      <c r="G3387" s="1074"/>
      <c r="H3387" s="1067"/>
      <c r="I3387" s="1059"/>
      <c r="J3387" s="1068"/>
      <c r="K3387" s="1064"/>
      <c r="L3387" s="1069"/>
      <c r="M3387" s="1069"/>
      <c r="N3387" s="1069"/>
      <c r="O3387" s="1070"/>
      <c r="P3387" s="1071"/>
      <c r="Q3387" s="1058"/>
      <c r="R3387" s="1063"/>
    </row>
    <row r="3388" spans="1:18" s="90" customFormat="1">
      <c r="A3388" s="1058"/>
      <c r="B3388" s="1072"/>
      <c r="C3388" s="1065"/>
      <c r="D3388" s="1058"/>
      <c r="E3388" s="1058"/>
      <c r="F3388" s="1073"/>
      <c r="G3388" s="1074"/>
      <c r="H3388" s="1067"/>
      <c r="I3388" s="1059"/>
      <c r="J3388" s="1068"/>
      <c r="K3388" s="1064"/>
      <c r="L3388" s="1069"/>
      <c r="M3388" s="1069"/>
      <c r="N3388" s="1069"/>
      <c r="O3388" s="1070"/>
      <c r="P3388" s="1071"/>
      <c r="Q3388" s="1058"/>
      <c r="R3388" s="1063"/>
    </row>
    <row r="3389" spans="1:18" s="90" customFormat="1">
      <c r="A3389" s="1058"/>
      <c r="B3389" s="1072"/>
      <c r="C3389" s="1065"/>
      <c r="D3389" s="1058"/>
      <c r="E3389" s="1058"/>
      <c r="F3389" s="1073"/>
      <c r="G3389" s="1074"/>
      <c r="H3389" s="1067"/>
      <c r="I3389" s="1059"/>
      <c r="J3389" s="1068"/>
      <c r="K3389" s="1064"/>
      <c r="L3389" s="1069"/>
      <c r="M3389" s="1069"/>
      <c r="N3389" s="1069"/>
      <c r="O3389" s="1070"/>
      <c r="P3389" s="1071"/>
      <c r="Q3389" s="1058"/>
      <c r="R3389" s="1063"/>
    </row>
    <row r="3390" spans="1:18" s="90" customFormat="1">
      <c r="A3390" s="1058"/>
      <c r="B3390" s="1072"/>
      <c r="C3390" s="1065"/>
      <c r="D3390" s="1058"/>
      <c r="E3390" s="1058"/>
      <c r="F3390" s="1073"/>
      <c r="G3390" s="1074"/>
      <c r="H3390" s="1067"/>
      <c r="I3390" s="1059"/>
      <c r="J3390" s="1068"/>
      <c r="K3390" s="1064"/>
      <c r="L3390" s="1069"/>
      <c r="M3390" s="1069"/>
      <c r="N3390" s="1069"/>
      <c r="O3390" s="1070"/>
      <c r="P3390" s="1071"/>
      <c r="Q3390" s="1058"/>
      <c r="R3390" s="1063"/>
    </row>
    <row r="3391" spans="1:18" s="90" customFormat="1">
      <c r="A3391" s="1058"/>
      <c r="B3391" s="1072"/>
      <c r="C3391" s="1065"/>
      <c r="D3391" s="1058"/>
      <c r="E3391" s="1058"/>
      <c r="F3391" s="1073"/>
      <c r="G3391" s="1074"/>
      <c r="H3391" s="1067"/>
      <c r="I3391" s="1059"/>
      <c r="J3391" s="1068"/>
      <c r="K3391" s="1064"/>
      <c r="L3391" s="1069"/>
      <c r="M3391" s="1069"/>
      <c r="N3391" s="1069"/>
      <c r="O3391" s="1070"/>
      <c r="P3391" s="1071"/>
      <c r="Q3391" s="1058"/>
      <c r="R3391" s="1063"/>
    </row>
    <row r="3392" spans="1:18" s="90" customFormat="1">
      <c r="A3392" s="1058"/>
      <c r="B3392" s="1072"/>
      <c r="C3392" s="1065"/>
      <c r="D3392" s="1058"/>
      <c r="E3392" s="1058"/>
      <c r="F3392" s="1073"/>
      <c r="G3392" s="1074"/>
      <c r="H3392" s="1067"/>
      <c r="I3392" s="1059"/>
      <c r="J3392" s="1068"/>
      <c r="K3392" s="1064"/>
      <c r="L3392" s="1069"/>
      <c r="M3392" s="1069"/>
      <c r="N3392" s="1069"/>
      <c r="O3392" s="1070"/>
      <c r="P3392" s="1071"/>
      <c r="Q3392" s="1058"/>
      <c r="R3392" s="1063"/>
    </row>
    <row r="3393" spans="1:18" s="90" customFormat="1">
      <c r="A3393" s="1058"/>
      <c r="B3393" s="1072"/>
      <c r="C3393" s="1065"/>
      <c r="D3393" s="1058"/>
      <c r="E3393" s="1058"/>
      <c r="F3393" s="1073"/>
      <c r="G3393" s="1074"/>
      <c r="H3393" s="1067"/>
      <c r="I3393" s="1059"/>
      <c r="J3393" s="1068"/>
      <c r="K3393" s="1064"/>
      <c r="L3393" s="1069"/>
      <c r="M3393" s="1069"/>
      <c r="N3393" s="1069"/>
      <c r="O3393" s="1070"/>
      <c r="P3393" s="1071"/>
      <c r="Q3393" s="1058"/>
      <c r="R3393" s="1063"/>
    </row>
    <row r="3394" spans="1:18" s="90" customFormat="1">
      <c r="A3394" s="1058"/>
      <c r="B3394" s="1072"/>
      <c r="C3394" s="1065"/>
      <c r="D3394" s="1058"/>
      <c r="E3394" s="1058"/>
      <c r="F3394" s="1073"/>
      <c r="G3394" s="1074"/>
      <c r="H3394" s="1067"/>
      <c r="I3394" s="1059"/>
      <c r="J3394" s="1068"/>
      <c r="K3394" s="1064"/>
      <c r="L3394" s="1069"/>
      <c r="M3394" s="1069"/>
      <c r="N3394" s="1069"/>
      <c r="O3394" s="1070"/>
      <c r="P3394" s="1071"/>
      <c r="Q3394" s="1058"/>
      <c r="R3394" s="1063"/>
    </row>
    <row r="3395" spans="1:18" s="90" customFormat="1">
      <c r="A3395" s="1058"/>
      <c r="B3395" s="1072"/>
      <c r="C3395" s="1065"/>
      <c r="D3395" s="1058"/>
      <c r="E3395" s="1058"/>
      <c r="F3395" s="1073"/>
      <c r="G3395" s="1074"/>
      <c r="H3395" s="1067"/>
      <c r="I3395" s="1059"/>
      <c r="J3395" s="1068"/>
      <c r="K3395" s="1064"/>
      <c r="L3395" s="1069"/>
      <c r="M3395" s="1069"/>
      <c r="N3395" s="1069"/>
      <c r="O3395" s="1070"/>
      <c r="P3395" s="1071"/>
      <c r="Q3395" s="1058"/>
      <c r="R3395" s="1063"/>
    </row>
    <row r="3396" spans="1:18" s="90" customFormat="1">
      <c r="A3396" s="1058"/>
      <c r="B3396" s="1072"/>
      <c r="C3396" s="1065"/>
      <c r="D3396" s="1058"/>
      <c r="E3396" s="1058"/>
      <c r="F3396" s="1073"/>
      <c r="G3396" s="1074"/>
      <c r="H3396" s="1067"/>
      <c r="I3396" s="1059"/>
      <c r="J3396" s="1068"/>
      <c r="K3396" s="1064"/>
      <c r="L3396" s="1069"/>
      <c r="M3396" s="1069"/>
      <c r="N3396" s="1069"/>
      <c r="O3396" s="1070"/>
      <c r="P3396" s="1071"/>
      <c r="Q3396" s="1058"/>
      <c r="R3396" s="1063"/>
    </row>
    <row r="3397" spans="1:18" s="90" customFormat="1">
      <c r="A3397" s="1058"/>
      <c r="B3397" s="1072"/>
      <c r="C3397" s="1065"/>
      <c r="D3397" s="1058"/>
      <c r="E3397" s="1058"/>
      <c r="F3397" s="1073"/>
      <c r="G3397" s="1074"/>
      <c r="H3397" s="1067"/>
      <c r="I3397" s="1059"/>
      <c r="J3397" s="1068"/>
      <c r="K3397" s="1064"/>
      <c r="L3397" s="1069"/>
      <c r="M3397" s="1069"/>
      <c r="N3397" s="1069"/>
      <c r="O3397" s="1070"/>
      <c r="P3397" s="1071"/>
      <c r="Q3397" s="1058"/>
      <c r="R3397" s="1063"/>
    </row>
    <row r="3398" spans="1:18" s="90" customFormat="1">
      <c r="A3398" s="1058"/>
      <c r="B3398" s="1072"/>
      <c r="C3398" s="1065"/>
      <c r="D3398" s="1058"/>
      <c r="E3398" s="1058"/>
      <c r="F3398" s="1073"/>
      <c r="G3398" s="1074"/>
      <c r="H3398" s="1067"/>
      <c r="I3398" s="1059"/>
      <c r="J3398" s="1068"/>
      <c r="K3398" s="1064"/>
      <c r="L3398" s="1069"/>
      <c r="M3398" s="1069"/>
      <c r="N3398" s="1069"/>
      <c r="O3398" s="1070"/>
      <c r="P3398" s="1071"/>
      <c r="Q3398" s="1058"/>
      <c r="R3398" s="1063"/>
    </row>
    <row r="3399" spans="1:18" s="90" customFormat="1">
      <c r="A3399" s="1058"/>
      <c r="B3399" s="1072"/>
      <c r="C3399" s="1065"/>
      <c r="D3399" s="1058"/>
      <c r="E3399" s="1058"/>
      <c r="F3399" s="1073"/>
      <c r="G3399" s="1074"/>
      <c r="H3399" s="1067"/>
      <c r="I3399" s="1059"/>
      <c r="J3399" s="1068"/>
      <c r="K3399" s="1064"/>
      <c r="L3399" s="1069"/>
      <c r="M3399" s="1069"/>
      <c r="N3399" s="1069"/>
      <c r="O3399" s="1070"/>
      <c r="P3399" s="1071"/>
      <c r="Q3399" s="1058"/>
      <c r="R3399" s="1063"/>
    </row>
    <row r="3400" spans="1:18" s="90" customFormat="1">
      <c r="A3400" s="1058"/>
      <c r="B3400" s="1072"/>
      <c r="C3400" s="1065"/>
      <c r="D3400" s="1058"/>
      <c r="E3400" s="1058"/>
      <c r="F3400" s="1073"/>
      <c r="G3400" s="1074"/>
      <c r="H3400" s="1067"/>
      <c r="I3400" s="1059"/>
      <c r="J3400" s="1068"/>
      <c r="K3400" s="1064"/>
      <c r="L3400" s="1069"/>
      <c r="M3400" s="1069"/>
      <c r="N3400" s="1069"/>
      <c r="O3400" s="1070"/>
      <c r="P3400" s="1071"/>
      <c r="Q3400" s="1058"/>
      <c r="R3400" s="1063"/>
    </row>
    <row r="3401" spans="1:18" s="90" customFormat="1">
      <c r="A3401" s="1058"/>
      <c r="B3401" s="1072"/>
      <c r="C3401" s="1065"/>
      <c r="D3401" s="1058"/>
      <c r="E3401" s="1058"/>
      <c r="F3401" s="1073"/>
      <c r="G3401" s="1074"/>
      <c r="H3401" s="1067"/>
      <c r="I3401" s="1059"/>
      <c r="J3401" s="1068"/>
      <c r="K3401" s="1064"/>
      <c r="L3401" s="1069"/>
      <c r="M3401" s="1069"/>
      <c r="N3401" s="1069"/>
      <c r="O3401" s="1070"/>
      <c r="P3401" s="1071"/>
      <c r="Q3401" s="1058"/>
      <c r="R3401" s="1063"/>
    </row>
    <row r="3402" spans="1:18" s="90" customFormat="1">
      <c r="A3402" s="1058"/>
      <c r="B3402" s="1072"/>
      <c r="C3402" s="1065"/>
      <c r="D3402" s="1058"/>
      <c r="E3402" s="1058"/>
      <c r="F3402" s="1073"/>
      <c r="G3402" s="1074"/>
      <c r="H3402" s="1067"/>
      <c r="I3402" s="1059"/>
      <c r="J3402" s="1068"/>
      <c r="K3402" s="1064"/>
      <c r="L3402" s="1069"/>
      <c r="M3402" s="1069"/>
      <c r="N3402" s="1069"/>
      <c r="O3402" s="1070"/>
      <c r="P3402" s="1071"/>
      <c r="Q3402" s="1058"/>
      <c r="R3402" s="1063"/>
    </row>
    <row r="3403" spans="1:18" s="90" customFormat="1">
      <c r="A3403" s="1058"/>
      <c r="B3403" s="1072"/>
      <c r="C3403" s="1065"/>
      <c r="D3403" s="1058"/>
      <c r="E3403" s="1058"/>
      <c r="F3403" s="1073"/>
      <c r="G3403" s="1074"/>
      <c r="H3403" s="1067"/>
      <c r="I3403" s="1059"/>
      <c r="J3403" s="1068"/>
      <c r="K3403" s="1064"/>
      <c r="L3403" s="1069"/>
      <c r="M3403" s="1069"/>
      <c r="N3403" s="1069"/>
      <c r="O3403" s="1070"/>
      <c r="P3403" s="1071"/>
      <c r="Q3403" s="1058"/>
      <c r="R3403" s="1063"/>
    </row>
    <row r="3404" spans="1:18" s="90" customFormat="1">
      <c r="A3404" s="1058"/>
      <c r="B3404" s="1072"/>
      <c r="C3404" s="1065"/>
      <c r="D3404" s="1058"/>
      <c r="E3404" s="1058"/>
      <c r="F3404" s="1073"/>
      <c r="G3404" s="1074"/>
      <c r="H3404" s="1067"/>
      <c r="I3404" s="1059"/>
      <c r="J3404" s="1068"/>
      <c r="K3404" s="1064"/>
      <c r="L3404" s="1069"/>
      <c r="M3404" s="1069"/>
      <c r="N3404" s="1069"/>
      <c r="O3404" s="1070"/>
      <c r="P3404" s="1071"/>
      <c r="Q3404" s="1058"/>
      <c r="R3404" s="1063"/>
    </row>
    <row r="3405" spans="1:18" s="90" customFormat="1">
      <c r="A3405" s="1058"/>
      <c r="B3405" s="1072"/>
      <c r="C3405" s="1065"/>
      <c r="D3405" s="1058"/>
      <c r="E3405" s="1058"/>
      <c r="F3405" s="1073"/>
      <c r="G3405" s="1074"/>
      <c r="H3405" s="1067"/>
      <c r="I3405" s="1059"/>
      <c r="J3405" s="1068"/>
      <c r="K3405" s="1064"/>
      <c r="L3405" s="1069"/>
      <c r="M3405" s="1069"/>
      <c r="N3405" s="1069"/>
      <c r="O3405" s="1070"/>
      <c r="P3405" s="1071"/>
      <c r="Q3405" s="1058"/>
      <c r="R3405" s="1063"/>
    </row>
    <row r="3406" spans="1:18" s="90" customFormat="1">
      <c r="A3406" s="1058"/>
      <c r="B3406" s="1072"/>
      <c r="C3406" s="1065"/>
      <c r="D3406" s="1058"/>
      <c r="E3406" s="1058"/>
      <c r="F3406" s="1073"/>
      <c r="G3406" s="1074"/>
      <c r="H3406" s="1067"/>
      <c r="I3406" s="1059"/>
      <c r="J3406" s="1068"/>
      <c r="K3406" s="1064"/>
      <c r="L3406" s="1069"/>
      <c r="M3406" s="1069"/>
      <c r="N3406" s="1069"/>
      <c r="O3406" s="1070"/>
      <c r="P3406" s="1071"/>
      <c r="Q3406" s="1058"/>
      <c r="R3406" s="1063"/>
    </row>
    <row r="3407" spans="1:18" s="90" customFormat="1">
      <c r="A3407" s="1058"/>
      <c r="B3407" s="1072"/>
      <c r="C3407" s="1065"/>
      <c r="D3407" s="1058"/>
      <c r="E3407" s="1058"/>
      <c r="F3407" s="1073"/>
      <c r="G3407" s="1074"/>
      <c r="H3407" s="1067"/>
      <c r="I3407" s="1059"/>
      <c r="J3407" s="1068"/>
      <c r="K3407" s="1064"/>
      <c r="L3407" s="1069"/>
      <c r="M3407" s="1069"/>
      <c r="N3407" s="1069"/>
      <c r="O3407" s="1070"/>
      <c r="P3407" s="1071"/>
      <c r="Q3407" s="1058"/>
      <c r="R3407" s="1063"/>
    </row>
    <row r="3408" spans="1:18" s="90" customFormat="1">
      <c r="A3408" s="1058"/>
      <c r="B3408" s="1072"/>
      <c r="C3408" s="1065"/>
      <c r="D3408" s="1058"/>
      <c r="E3408" s="1058"/>
      <c r="F3408" s="1073"/>
      <c r="G3408" s="1074"/>
      <c r="H3408" s="1067"/>
      <c r="I3408" s="1059"/>
      <c r="J3408" s="1068"/>
      <c r="K3408" s="1064"/>
      <c r="L3408" s="1069"/>
      <c r="M3408" s="1069"/>
      <c r="N3408" s="1069"/>
      <c r="O3408" s="1070"/>
      <c r="P3408" s="1071"/>
      <c r="Q3408" s="1058"/>
      <c r="R3408" s="1063"/>
    </row>
    <row r="3409" spans="1:18" s="90" customFormat="1">
      <c r="A3409" s="1058"/>
      <c r="B3409" s="1072"/>
      <c r="C3409" s="1065"/>
      <c r="D3409" s="1058"/>
      <c r="E3409" s="1058"/>
      <c r="F3409" s="1073"/>
      <c r="G3409" s="1074"/>
      <c r="H3409" s="1067"/>
      <c r="I3409" s="1059"/>
      <c r="J3409" s="1068"/>
      <c r="K3409" s="1064"/>
      <c r="L3409" s="1069"/>
      <c r="M3409" s="1069"/>
      <c r="N3409" s="1069"/>
      <c r="O3409" s="1070"/>
      <c r="P3409" s="1071"/>
      <c r="Q3409" s="1058"/>
      <c r="R3409" s="1063"/>
    </row>
    <row r="3410" spans="1:18" s="90" customFormat="1">
      <c r="A3410" s="1058"/>
      <c r="B3410" s="1072"/>
      <c r="C3410" s="1065"/>
      <c r="D3410" s="1058"/>
      <c r="E3410" s="1058"/>
      <c r="F3410" s="1073"/>
      <c r="G3410" s="1074"/>
      <c r="H3410" s="1067"/>
      <c r="I3410" s="1059"/>
      <c r="J3410" s="1068"/>
      <c r="K3410" s="1064"/>
      <c r="L3410" s="1069"/>
      <c r="M3410" s="1069"/>
      <c r="N3410" s="1069"/>
      <c r="O3410" s="1070"/>
      <c r="P3410" s="1071"/>
      <c r="Q3410" s="1058"/>
      <c r="R3410" s="1063"/>
    </row>
    <row r="3411" spans="1:18" s="90" customFormat="1">
      <c r="A3411" s="1058"/>
      <c r="B3411" s="1072"/>
      <c r="C3411" s="1065"/>
      <c r="D3411" s="1058"/>
      <c r="E3411" s="1058"/>
      <c r="F3411" s="1073"/>
      <c r="G3411" s="1074"/>
      <c r="H3411" s="1067"/>
      <c r="I3411" s="1059"/>
      <c r="J3411" s="1068"/>
      <c r="K3411" s="1064"/>
      <c r="L3411" s="1069"/>
      <c r="M3411" s="1069"/>
      <c r="N3411" s="1069"/>
      <c r="O3411" s="1070"/>
      <c r="P3411" s="1071"/>
      <c r="Q3411" s="1058"/>
      <c r="R3411" s="1063"/>
    </row>
    <row r="3412" spans="1:18" s="90" customFormat="1">
      <c r="A3412" s="1058"/>
      <c r="B3412" s="1072"/>
      <c r="C3412" s="1065"/>
      <c r="D3412" s="1058"/>
      <c r="E3412" s="1058"/>
      <c r="F3412" s="1073"/>
      <c r="G3412" s="1074"/>
      <c r="H3412" s="1067"/>
      <c r="I3412" s="1059"/>
      <c r="J3412" s="1068"/>
      <c r="K3412" s="1064"/>
      <c r="L3412" s="1069"/>
      <c r="M3412" s="1069"/>
      <c r="N3412" s="1069"/>
      <c r="O3412" s="1070"/>
      <c r="P3412" s="1071"/>
      <c r="Q3412" s="1058"/>
      <c r="R3412" s="1063"/>
    </row>
    <row r="3413" spans="1:18" s="90" customFormat="1">
      <c r="A3413" s="1058"/>
      <c r="B3413" s="1072"/>
      <c r="C3413" s="1065"/>
      <c r="D3413" s="1058"/>
      <c r="E3413" s="1058"/>
      <c r="F3413" s="1073"/>
      <c r="G3413" s="1074"/>
      <c r="H3413" s="1067"/>
      <c r="I3413" s="1059"/>
      <c r="J3413" s="1068"/>
      <c r="K3413" s="1064"/>
      <c r="L3413" s="1069"/>
      <c r="M3413" s="1069"/>
      <c r="N3413" s="1069"/>
      <c r="O3413" s="1070"/>
      <c r="P3413" s="1071"/>
      <c r="Q3413" s="1058"/>
      <c r="R3413" s="1063"/>
    </row>
    <row r="3414" spans="1:18" s="90" customFormat="1">
      <c r="A3414" s="1058"/>
      <c r="B3414" s="1072"/>
      <c r="C3414" s="1065"/>
      <c r="D3414" s="1058"/>
      <c r="E3414" s="1058"/>
      <c r="F3414" s="1073"/>
      <c r="G3414" s="1074"/>
      <c r="H3414" s="1067"/>
      <c r="I3414" s="1059"/>
      <c r="J3414" s="1068"/>
      <c r="K3414" s="1064"/>
      <c r="L3414" s="1069"/>
      <c r="M3414" s="1069"/>
      <c r="N3414" s="1069"/>
      <c r="O3414" s="1070"/>
      <c r="P3414" s="1071"/>
      <c r="Q3414" s="1058"/>
      <c r="R3414" s="1063"/>
    </row>
    <row r="3415" spans="1:18" s="90" customFormat="1">
      <c r="A3415" s="1058"/>
      <c r="B3415" s="1072"/>
      <c r="C3415" s="1065"/>
      <c r="D3415" s="1058"/>
      <c r="E3415" s="1058"/>
      <c r="F3415" s="1073"/>
      <c r="G3415" s="1074"/>
      <c r="H3415" s="1067"/>
      <c r="I3415" s="1059"/>
      <c r="J3415" s="1068"/>
      <c r="K3415" s="1064"/>
      <c r="L3415" s="1069"/>
      <c r="M3415" s="1069"/>
      <c r="N3415" s="1069"/>
      <c r="O3415" s="1070"/>
      <c r="P3415" s="1071"/>
      <c r="Q3415" s="1058"/>
      <c r="R3415" s="1063"/>
    </row>
    <row r="3416" spans="1:18" s="90" customFormat="1">
      <c r="A3416" s="1058"/>
      <c r="B3416" s="1072"/>
      <c r="C3416" s="1065"/>
      <c r="D3416" s="1058"/>
      <c r="E3416" s="1058"/>
      <c r="F3416" s="1073"/>
      <c r="G3416" s="1074"/>
      <c r="H3416" s="1067"/>
      <c r="I3416" s="1059"/>
      <c r="J3416" s="1068"/>
      <c r="K3416" s="1064"/>
      <c r="L3416" s="1069"/>
      <c r="M3416" s="1069"/>
      <c r="N3416" s="1069"/>
      <c r="O3416" s="1070"/>
      <c r="P3416" s="1071"/>
      <c r="Q3416" s="1058"/>
      <c r="R3416" s="1063"/>
    </row>
    <row r="3417" spans="1:18" s="90" customFormat="1">
      <c r="A3417" s="1058"/>
      <c r="B3417" s="1072"/>
      <c r="C3417" s="1065"/>
      <c r="D3417" s="1058"/>
      <c r="E3417" s="1058"/>
      <c r="F3417" s="1073"/>
      <c r="G3417" s="1074"/>
      <c r="H3417" s="1067"/>
      <c r="I3417" s="1059"/>
      <c r="J3417" s="1068"/>
      <c r="K3417" s="1064"/>
      <c r="L3417" s="1069"/>
      <c r="M3417" s="1069"/>
      <c r="N3417" s="1069"/>
      <c r="O3417" s="1070"/>
      <c r="P3417" s="1071"/>
      <c r="Q3417" s="1058"/>
      <c r="R3417" s="1063"/>
    </row>
    <row r="3418" spans="1:18" s="90" customFormat="1">
      <c r="A3418" s="1058"/>
      <c r="B3418" s="1072"/>
      <c r="C3418" s="1065"/>
      <c r="D3418" s="1058"/>
      <c r="E3418" s="1058"/>
      <c r="F3418" s="1073"/>
      <c r="G3418" s="1074"/>
      <c r="H3418" s="1067"/>
      <c r="I3418" s="1059"/>
      <c r="J3418" s="1068"/>
      <c r="K3418" s="1064"/>
      <c r="L3418" s="1069"/>
      <c r="M3418" s="1069"/>
      <c r="N3418" s="1069"/>
      <c r="O3418" s="1070"/>
      <c r="P3418" s="1071"/>
      <c r="Q3418" s="1058"/>
      <c r="R3418" s="1063"/>
    </row>
    <row r="3419" spans="1:18" s="90" customFormat="1">
      <c r="A3419" s="1058"/>
      <c r="B3419" s="1072"/>
      <c r="C3419" s="1065"/>
      <c r="D3419" s="1058"/>
      <c r="E3419" s="1058"/>
      <c r="F3419" s="1073"/>
      <c r="G3419" s="1074"/>
      <c r="H3419" s="1067"/>
      <c r="I3419" s="1059"/>
      <c r="J3419" s="1068"/>
      <c r="K3419" s="1064"/>
      <c r="L3419" s="1069"/>
      <c r="M3419" s="1069"/>
      <c r="N3419" s="1069"/>
      <c r="O3419" s="1070"/>
      <c r="P3419" s="1071"/>
      <c r="Q3419" s="1058"/>
      <c r="R3419" s="1063"/>
    </row>
    <row r="3420" spans="1:18" s="90" customFormat="1">
      <c r="A3420" s="1058"/>
      <c r="B3420" s="1072"/>
      <c r="C3420" s="1065"/>
      <c r="D3420" s="1058"/>
      <c r="E3420" s="1058"/>
      <c r="F3420" s="1073"/>
      <c r="G3420" s="1074"/>
      <c r="H3420" s="1067"/>
      <c r="I3420" s="1059"/>
      <c r="J3420" s="1068"/>
      <c r="K3420" s="1064"/>
      <c r="L3420" s="1069"/>
      <c r="M3420" s="1069"/>
      <c r="N3420" s="1069"/>
      <c r="O3420" s="1070"/>
      <c r="P3420" s="1071"/>
      <c r="Q3420" s="1058"/>
      <c r="R3420" s="1063"/>
    </row>
    <row r="3421" spans="1:18" s="90" customFormat="1">
      <c r="A3421" s="1058"/>
      <c r="B3421" s="1072"/>
      <c r="C3421" s="1065"/>
      <c r="D3421" s="1058"/>
      <c r="E3421" s="1058"/>
      <c r="F3421" s="1073"/>
      <c r="G3421" s="1074"/>
      <c r="H3421" s="1067"/>
      <c r="I3421" s="1059"/>
      <c r="J3421" s="1068"/>
      <c r="K3421" s="1064"/>
      <c r="L3421" s="1069"/>
      <c r="M3421" s="1069"/>
      <c r="N3421" s="1069"/>
      <c r="O3421" s="1070"/>
      <c r="P3421" s="1071"/>
      <c r="Q3421" s="1058"/>
      <c r="R3421" s="1063"/>
    </row>
    <row r="3422" spans="1:18" s="90" customFormat="1">
      <c r="A3422" s="1058"/>
      <c r="B3422" s="1072"/>
      <c r="C3422" s="1065"/>
      <c r="D3422" s="1058"/>
      <c r="E3422" s="1058"/>
      <c r="F3422" s="1073"/>
      <c r="G3422" s="1074"/>
      <c r="H3422" s="1067"/>
      <c r="I3422" s="1059"/>
      <c r="J3422" s="1068"/>
      <c r="K3422" s="1064"/>
      <c r="L3422" s="1069"/>
      <c r="M3422" s="1069"/>
      <c r="N3422" s="1069"/>
      <c r="O3422" s="1070"/>
      <c r="P3422" s="1071"/>
      <c r="Q3422" s="1058"/>
      <c r="R3422" s="1063"/>
    </row>
    <row r="3423" spans="1:18" s="90" customFormat="1">
      <c r="A3423" s="1058"/>
      <c r="B3423" s="1072"/>
      <c r="C3423" s="1065"/>
      <c r="D3423" s="1058"/>
      <c r="E3423" s="1058"/>
      <c r="F3423" s="1073"/>
      <c r="G3423" s="1074"/>
      <c r="H3423" s="1067"/>
      <c r="I3423" s="1059"/>
      <c r="J3423" s="1068"/>
      <c r="K3423" s="1064"/>
      <c r="L3423" s="1069"/>
      <c r="M3423" s="1069"/>
      <c r="N3423" s="1069"/>
      <c r="O3423" s="1070"/>
      <c r="P3423" s="1071"/>
      <c r="Q3423" s="1058"/>
      <c r="R3423" s="1063"/>
    </row>
    <row r="3424" spans="1:18" s="90" customFormat="1">
      <c r="A3424" s="1058"/>
      <c r="B3424" s="1072"/>
      <c r="C3424" s="1065"/>
      <c r="D3424" s="1058"/>
      <c r="E3424" s="1058"/>
      <c r="F3424" s="1073"/>
      <c r="G3424" s="1074"/>
      <c r="H3424" s="1067"/>
      <c r="I3424" s="1059"/>
      <c r="J3424" s="1068"/>
      <c r="K3424" s="1064"/>
      <c r="L3424" s="1069"/>
      <c r="M3424" s="1069"/>
      <c r="N3424" s="1069"/>
      <c r="O3424" s="1070"/>
      <c r="P3424" s="1071"/>
      <c r="Q3424" s="1058"/>
      <c r="R3424" s="1063"/>
    </row>
    <row r="3425" spans="1:18" s="90" customFormat="1">
      <c r="A3425" s="1058"/>
      <c r="B3425" s="1072"/>
      <c r="C3425" s="1065"/>
      <c r="D3425" s="1058"/>
      <c r="E3425" s="1058"/>
      <c r="F3425" s="1073"/>
      <c r="G3425" s="1074"/>
      <c r="H3425" s="1067"/>
      <c r="I3425" s="1059"/>
      <c r="J3425" s="1068"/>
      <c r="K3425" s="1064"/>
      <c r="L3425" s="1069"/>
      <c r="M3425" s="1069"/>
      <c r="N3425" s="1069"/>
      <c r="O3425" s="1070"/>
      <c r="P3425" s="1071"/>
      <c r="Q3425" s="1058"/>
      <c r="R3425" s="1063"/>
    </row>
    <row r="3426" spans="1:18" s="90" customFormat="1">
      <c r="A3426" s="1058"/>
      <c r="B3426" s="1072"/>
      <c r="C3426" s="1065"/>
      <c r="D3426" s="1058"/>
      <c r="E3426" s="1058"/>
      <c r="F3426" s="1073"/>
      <c r="G3426" s="1074"/>
      <c r="H3426" s="1067"/>
      <c r="I3426" s="1059"/>
      <c r="J3426" s="1068"/>
      <c r="K3426" s="1064"/>
      <c r="L3426" s="1069"/>
      <c r="M3426" s="1069"/>
      <c r="N3426" s="1069"/>
      <c r="O3426" s="1070"/>
      <c r="P3426" s="1071"/>
      <c r="Q3426" s="1058"/>
      <c r="R3426" s="1063"/>
    </row>
    <row r="3427" spans="1:18" s="90" customFormat="1">
      <c r="A3427" s="1058"/>
      <c r="B3427" s="1072"/>
      <c r="C3427" s="1065"/>
      <c r="D3427" s="1058"/>
      <c r="E3427" s="1058"/>
      <c r="F3427" s="1073"/>
      <c r="G3427" s="1074"/>
      <c r="H3427" s="1067"/>
      <c r="I3427" s="1059"/>
      <c r="J3427" s="1068"/>
      <c r="K3427" s="1064"/>
      <c r="L3427" s="1069"/>
      <c r="M3427" s="1069"/>
      <c r="N3427" s="1069"/>
      <c r="O3427" s="1070"/>
      <c r="P3427" s="1071"/>
      <c r="Q3427" s="1058"/>
      <c r="R3427" s="1063"/>
    </row>
    <row r="3428" spans="1:18" s="90" customFormat="1">
      <c r="A3428" s="1058"/>
      <c r="B3428" s="1072"/>
      <c r="C3428" s="1065"/>
      <c r="D3428" s="1058"/>
      <c r="E3428" s="1058"/>
      <c r="F3428" s="1073"/>
      <c r="G3428" s="1074"/>
      <c r="H3428" s="1067"/>
      <c r="I3428" s="1059"/>
      <c r="J3428" s="1068"/>
      <c r="K3428" s="1064"/>
      <c r="L3428" s="1069"/>
      <c r="M3428" s="1069"/>
      <c r="N3428" s="1069"/>
      <c r="O3428" s="1070"/>
      <c r="P3428" s="1071"/>
      <c r="Q3428" s="1058"/>
      <c r="R3428" s="1063"/>
    </row>
    <row r="3429" spans="1:18" s="90" customFormat="1">
      <c r="A3429" s="1058"/>
      <c r="B3429" s="1072"/>
      <c r="C3429" s="1065"/>
      <c r="D3429" s="1058"/>
      <c r="E3429" s="1058"/>
      <c r="F3429" s="1073"/>
      <c r="G3429" s="1074"/>
      <c r="H3429" s="1067"/>
      <c r="I3429" s="1059"/>
      <c r="J3429" s="1068"/>
      <c r="K3429" s="1064"/>
      <c r="L3429" s="1069"/>
      <c r="M3429" s="1069"/>
      <c r="N3429" s="1069"/>
      <c r="O3429" s="1070"/>
      <c r="P3429" s="1071"/>
      <c r="Q3429" s="1058"/>
      <c r="R3429" s="1063"/>
    </row>
    <row r="3430" spans="1:18" s="90" customFormat="1">
      <c r="A3430" s="1058"/>
      <c r="B3430" s="1072"/>
      <c r="C3430" s="1065"/>
      <c r="D3430" s="1058"/>
      <c r="E3430" s="1058"/>
      <c r="F3430" s="1073"/>
      <c r="G3430" s="1074"/>
      <c r="H3430" s="1067"/>
      <c r="I3430" s="1059"/>
      <c r="J3430" s="1068"/>
      <c r="K3430" s="1064"/>
      <c r="L3430" s="1069"/>
      <c r="M3430" s="1069"/>
      <c r="N3430" s="1069"/>
      <c r="O3430" s="1070"/>
      <c r="P3430" s="1071"/>
      <c r="Q3430" s="1058"/>
      <c r="R3430" s="1063"/>
    </row>
    <row r="3431" spans="1:18" s="90" customFormat="1">
      <c r="A3431" s="1058"/>
      <c r="B3431" s="1072"/>
      <c r="C3431" s="1065"/>
      <c r="D3431" s="1058"/>
      <c r="E3431" s="1058"/>
      <c r="F3431" s="1073"/>
      <c r="G3431" s="1074"/>
      <c r="H3431" s="1067"/>
      <c r="I3431" s="1059"/>
      <c r="J3431" s="1068"/>
      <c r="K3431" s="1064"/>
      <c r="L3431" s="1069"/>
      <c r="M3431" s="1069"/>
      <c r="N3431" s="1069"/>
      <c r="O3431" s="1070"/>
      <c r="P3431" s="1071"/>
      <c r="Q3431" s="1058"/>
      <c r="R3431" s="1063"/>
    </row>
    <row r="3432" spans="1:18" s="90" customFormat="1">
      <c r="A3432" s="1058"/>
      <c r="B3432" s="1072"/>
      <c r="C3432" s="1065"/>
      <c r="D3432" s="1058"/>
      <c r="E3432" s="1058"/>
      <c r="F3432" s="1073"/>
      <c r="G3432" s="1074"/>
      <c r="H3432" s="1067"/>
      <c r="I3432" s="1059"/>
      <c r="J3432" s="1068"/>
      <c r="K3432" s="1064"/>
      <c r="L3432" s="1069"/>
      <c r="M3432" s="1069"/>
      <c r="N3432" s="1069"/>
      <c r="O3432" s="1070"/>
      <c r="P3432" s="1071"/>
      <c r="Q3432" s="1058"/>
      <c r="R3432" s="1063"/>
    </row>
    <row r="3433" spans="1:18" s="90" customFormat="1">
      <c r="A3433" s="1058"/>
      <c r="B3433" s="1072"/>
      <c r="C3433" s="1065"/>
      <c r="D3433" s="1058"/>
      <c r="E3433" s="1058"/>
      <c r="F3433" s="1073"/>
      <c r="G3433" s="1074"/>
      <c r="H3433" s="1067"/>
      <c r="I3433" s="1059"/>
      <c r="J3433" s="1068"/>
      <c r="K3433" s="1064"/>
      <c r="L3433" s="1069"/>
      <c r="M3433" s="1069"/>
      <c r="N3433" s="1069"/>
      <c r="O3433" s="1070"/>
      <c r="P3433" s="1071"/>
      <c r="Q3433" s="1058"/>
      <c r="R3433" s="1063"/>
    </row>
    <row r="3434" spans="1:18" s="90" customFormat="1">
      <c r="A3434" s="1058"/>
      <c r="B3434" s="1072"/>
      <c r="C3434" s="1065"/>
      <c r="D3434" s="1058"/>
      <c r="E3434" s="1058"/>
      <c r="F3434" s="1073"/>
      <c r="G3434" s="1074"/>
      <c r="H3434" s="1067"/>
      <c r="I3434" s="1059"/>
      <c r="J3434" s="1068"/>
      <c r="K3434" s="1064"/>
      <c r="L3434" s="1069"/>
      <c r="M3434" s="1069"/>
      <c r="N3434" s="1069"/>
      <c r="O3434" s="1070"/>
      <c r="P3434" s="1071"/>
      <c r="Q3434" s="1058"/>
      <c r="R3434" s="1063"/>
    </row>
    <row r="3435" spans="1:18" s="90" customFormat="1">
      <c r="A3435" s="1058"/>
      <c r="B3435" s="1072"/>
      <c r="C3435" s="1065"/>
      <c r="D3435" s="1058"/>
      <c r="E3435" s="1058"/>
      <c r="F3435" s="1073"/>
      <c r="G3435" s="1074"/>
      <c r="H3435" s="1067"/>
      <c r="I3435" s="1059"/>
      <c r="J3435" s="1068"/>
      <c r="K3435" s="1064"/>
      <c r="L3435" s="1069"/>
      <c r="M3435" s="1069"/>
      <c r="N3435" s="1069"/>
      <c r="O3435" s="1070"/>
      <c r="P3435" s="1071"/>
      <c r="Q3435" s="1058"/>
      <c r="R3435" s="1063"/>
    </row>
    <row r="3436" spans="1:18" s="90" customFormat="1">
      <c r="A3436" s="1058"/>
      <c r="B3436" s="1072"/>
      <c r="C3436" s="1065"/>
      <c r="D3436" s="1058"/>
      <c r="E3436" s="1058"/>
      <c r="F3436" s="1073"/>
      <c r="G3436" s="1074"/>
      <c r="H3436" s="1067"/>
      <c r="I3436" s="1059"/>
      <c r="J3436" s="1068"/>
      <c r="K3436" s="1064"/>
      <c r="L3436" s="1069"/>
      <c r="M3436" s="1069"/>
      <c r="N3436" s="1069"/>
      <c r="O3436" s="1070"/>
      <c r="P3436" s="1071"/>
      <c r="Q3436" s="1058"/>
      <c r="R3436" s="1063"/>
    </row>
    <row r="3437" spans="1:18" s="90" customFormat="1">
      <c r="A3437" s="1058"/>
      <c r="B3437" s="1072"/>
      <c r="C3437" s="1065"/>
      <c r="D3437" s="1058"/>
      <c r="E3437" s="1058"/>
      <c r="F3437" s="1073"/>
      <c r="G3437" s="1074"/>
      <c r="H3437" s="1067"/>
      <c r="I3437" s="1059"/>
      <c r="J3437" s="1068"/>
      <c r="K3437" s="1064"/>
      <c r="L3437" s="1069"/>
      <c r="M3437" s="1069"/>
      <c r="N3437" s="1069"/>
      <c r="O3437" s="1070"/>
      <c r="P3437" s="1071"/>
      <c r="Q3437" s="1058"/>
      <c r="R3437" s="1063"/>
    </row>
    <row r="3438" spans="1:18" s="90" customFormat="1">
      <c r="A3438" s="1058"/>
      <c r="B3438" s="1072"/>
      <c r="C3438" s="1065"/>
      <c r="D3438" s="1058"/>
      <c r="E3438" s="1058"/>
      <c r="F3438" s="1073"/>
      <c r="G3438" s="1074"/>
      <c r="H3438" s="1067"/>
      <c r="I3438" s="1059"/>
      <c r="J3438" s="1068"/>
      <c r="K3438" s="1064"/>
      <c r="L3438" s="1069"/>
      <c r="M3438" s="1069"/>
      <c r="N3438" s="1069"/>
      <c r="O3438" s="1070"/>
      <c r="P3438" s="1071"/>
      <c r="Q3438" s="1058"/>
      <c r="R3438" s="1063"/>
    </row>
    <row r="3439" spans="1:18" s="90" customFormat="1">
      <c r="A3439" s="1058"/>
      <c r="B3439" s="1072"/>
      <c r="C3439" s="1065"/>
      <c r="D3439" s="1058"/>
      <c r="E3439" s="1058"/>
      <c r="F3439" s="1073"/>
      <c r="G3439" s="1074"/>
      <c r="H3439" s="1067"/>
      <c r="I3439" s="1059"/>
      <c r="J3439" s="1068"/>
      <c r="K3439" s="1064"/>
      <c r="L3439" s="1069"/>
      <c r="M3439" s="1069"/>
      <c r="N3439" s="1069"/>
      <c r="O3439" s="1070"/>
      <c r="P3439" s="1071"/>
      <c r="Q3439" s="1058"/>
      <c r="R3439" s="1063"/>
    </row>
    <row r="3440" spans="1:18" s="90" customFormat="1">
      <c r="A3440" s="1058"/>
      <c r="B3440" s="1072"/>
      <c r="C3440" s="1065"/>
      <c r="D3440" s="1058"/>
      <c r="E3440" s="1058"/>
      <c r="F3440" s="1073"/>
      <c r="G3440" s="1074"/>
      <c r="H3440" s="1067"/>
      <c r="I3440" s="1059"/>
      <c r="J3440" s="1068"/>
      <c r="K3440" s="1064"/>
      <c r="L3440" s="1069"/>
      <c r="M3440" s="1069"/>
      <c r="N3440" s="1069"/>
      <c r="O3440" s="1070"/>
      <c r="P3440" s="1071"/>
      <c r="Q3440" s="1058"/>
      <c r="R3440" s="1063"/>
    </row>
    <row r="3441" spans="1:18" s="90" customFormat="1">
      <c r="A3441" s="1058"/>
      <c r="B3441" s="1072"/>
      <c r="C3441" s="1065"/>
      <c r="D3441" s="1058"/>
      <c r="E3441" s="1058"/>
      <c r="F3441" s="1073"/>
      <c r="G3441" s="1074"/>
      <c r="H3441" s="1067"/>
      <c r="I3441" s="1059"/>
      <c r="J3441" s="1068"/>
      <c r="K3441" s="1064"/>
      <c r="L3441" s="1069"/>
      <c r="M3441" s="1069"/>
      <c r="N3441" s="1069"/>
      <c r="O3441" s="1070"/>
      <c r="P3441" s="1071"/>
      <c r="Q3441" s="1058"/>
      <c r="R3441" s="1063"/>
    </row>
    <row r="3442" spans="1:18" s="90" customFormat="1">
      <c r="A3442" s="1058"/>
      <c r="B3442" s="1072"/>
      <c r="C3442" s="1065"/>
      <c r="D3442" s="1058"/>
      <c r="E3442" s="1058"/>
      <c r="F3442" s="1073"/>
      <c r="G3442" s="1074"/>
      <c r="H3442" s="1067"/>
      <c r="I3442" s="1059"/>
      <c r="J3442" s="1068"/>
      <c r="K3442" s="1064"/>
      <c r="L3442" s="1069"/>
      <c r="M3442" s="1069"/>
      <c r="N3442" s="1069"/>
      <c r="O3442" s="1070"/>
      <c r="P3442" s="1071"/>
      <c r="Q3442" s="1058"/>
      <c r="R3442" s="1063"/>
    </row>
    <row r="3443" spans="1:18" s="90" customFormat="1">
      <c r="A3443" s="1058"/>
      <c r="B3443" s="1072"/>
      <c r="C3443" s="1065"/>
      <c r="D3443" s="1058"/>
      <c r="E3443" s="1058"/>
      <c r="F3443" s="1073"/>
      <c r="G3443" s="1074"/>
      <c r="H3443" s="1067"/>
      <c r="I3443" s="1059"/>
      <c r="J3443" s="1068"/>
      <c r="K3443" s="1064"/>
      <c r="L3443" s="1069"/>
      <c r="M3443" s="1069"/>
      <c r="N3443" s="1069"/>
      <c r="O3443" s="1070"/>
      <c r="P3443" s="1071"/>
      <c r="Q3443" s="1058"/>
      <c r="R3443" s="1063"/>
    </row>
    <row r="3444" spans="1:18" s="90" customFormat="1">
      <c r="A3444" s="1058"/>
      <c r="B3444" s="1072"/>
      <c r="C3444" s="1065"/>
      <c r="D3444" s="1058"/>
      <c r="E3444" s="1058"/>
      <c r="F3444" s="1073"/>
      <c r="G3444" s="1074"/>
      <c r="H3444" s="1067"/>
      <c r="I3444" s="1059"/>
      <c r="J3444" s="1068"/>
      <c r="K3444" s="1064"/>
      <c r="L3444" s="1069"/>
      <c r="M3444" s="1069"/>
      <c r="N3444" s="1069"/>
      <c r="O3444" s="1070"/>
      <c r="P3444" s="1071"/>
      <c r="Q3444" s="1058"/>
      <c r="R3444" s="1063"/>
    </row>
    <row r="3445" spans="1:18" s="90" customFormat="1">
      <c r="A3445" s="1058"/>
      <c r="B3445" s="1072"/>
      <c r="C3445" s="1065"/>
      <c r="D3445" s="1058"/>
      <c r="E3445" s="1058"/>
      <c r="F3445" s="1073"/>
      <c r="G3445" s="1074"/>
      <c r="H3445" s="1067"/>
      <c r="I3445" s="1059"/>
      <c r="J3445" s="1068"/>
      <c r="K3445" s="1064"/>
      <c r="L3445" s="1069"/>
      <c r="M3445" s="1069"/>
      <c r="N3445" s="1069"/>
      <c r="O3445" s="1070"/>
      <c r="P3445" s="1071"/>
      <c r="Q3445" s="1058"/>
      <c r="R3445" s="1063"/>
    </row>
    <row r="3446" spans="1:18" s="90" customFormat="1">
      <c r="A3446" s="1058"/>
      <c r="B3446" s="1072"/>
      <c r="C3446" s="1065"/>
      <c r="D3446" s="1058"/>
      <c r="E3446" s="1058"/>
      <c r="F3446" s="1073"/>
      <c r="G3446" s="1074"/>
      <c r="H3446" s="1067"/>
      <c r="I3446" s="1059"/>
      <c r="J3446" s="1068"/>
      <c r="K3446" s="1064"/>
      <c r="L3446" s="1069"/>
      <c r="M3446" s="1069"/>
      <c r="N3446" s="1069"/>
      <c r="O3446" s="1070"/>
      <c r="P3446" s="1071"/>
      <c r="Q3446" s="1058"/>
      <c r="R3446" s="1063"/>
    </row>
    <row r="3447" spans="1:18" s="90" customFormat="1">
      <c r="A3447" s="1058"/>
      <c r="B3447" s="1072"/>
      <c r="C3447" s="1065"/>
      <c r="D3447" s="1058"/>
      <c r="E3447" s="1058"/>
      <c r="F3447" s="1073"/>
      <c r="G3447" s="1074"/>
      <c r="H3447" s="1067"/>
      <c r="I3447" s="1059"/>
      <c r="J3447" s="1068"/>
      <c r="K3447" s="1064"/>
      <c r="L3447" s="1069"/>
      <c r="M3447" s="1069"/>
      <c r="N3447" s="1069"/>
      <c r="O3447" s="1070"/>
      <c r="P3447" s="1071"/>
      <c r="Q3447" s="1058"/>
      <c r="R3447" s="1063"/>
    </row>
    <row r="3448" spans="1:18" s="90" customFormat="1">
      <c r="A3448" s="1058"/>
      <c r="B3448" s="1072"/>
      <c r="C3448" s="1065"/>
      <c r="D3448" s="1058"/>
      <c r="E3448" s="1058"/>
      <c r="F3448" s="1073"/>
      <c r="G3448" s="1074"/>
      <c r="H3448" s="1067"/>
      <c r="I3448" s="1059"/>
      <c r="J3448" s="1068"/>
      <c r="K3448" s="1064"/>
      <c r="L3448" s="1069"/>
      <c r="M3448" s="1069"/>
      <c r="N3448" s="1069"/>
      <c r="O3448" s="1070"/>
      <c r="P3448" s="1071"/>
      <c r="Q3448" s="1058"/>
      <c r="R3448" s="1063"/>
    </row>
    <row r="3449" spans="1:18" s="90" customFormat="1">
      <c r="A3449" s="1058"/>
      <c r="B3449" s="1072"/>
      <c r="C3449" s="1065"/>
      <c r="D3449" s="1058"/>
      <c r="E3449" s="1058"/>
      <c r="F3449" s="1073"/>
      <c r="G3449" s="1074"/>
      <c r="H3449" s="1067"/>
      <c r="I3449" s="1059"/>
      <c r="J3449" s="1068"/>
      <c r="K3449" s="1064"/>
      <c r="L3449" s="1069"/>
      <c r="M3449" s="1069"/>
      <c r="N3449" s="1069"/>
      <c r="O3449" s="1070"/>
      <c r="P3449" s="1071"/>
      <c r="Q3449" s="1058"/>
      <c r="R3449" s="1063"/>
    </row>
    <row r="3450" spans="1:18" s="90" customFormat="1">
      <c r="A3450" s="1058"/>
      <c r="B3450" s="1072"/>
      <c r="C3450" s="1065"/>
      <c r="D3450" s="1058"/>
      <c r="E3450" s="1058"/>
      <c r="F3450" s="1073"/>
      <c r="G3450" s="1074"/>
      <c r="H3450" s="1067"/>
      <c r="I3450" s="1059"/>
      <c r="J3450" s="1068"/>
      <c r="K3450" s="1064"/>
      <c r="L3450" s="1069"/>
      <c r="M3450" s="1069"/>
      <c r="N3450" s="1069"/>
      <c r="O3450" s="1070"/>
      <c r="P3450" s="1071"/>
      <c r="Q3450" s="1058"/>
      <c r="R3450" s="1063"/>
    </row>
    <row r="3451" spans="1:18" s="90" customFormat="1">
      <c r="A3451" s="1058"/>
      <c r="B3451" s="1072"/>
      <c r="C3451" s="1065"/>
      <c r="D3451" s="1058"/>
      <c r="E3451" s="1058"/>
      <c r="F3451" s="1073"/>
      <c r="G3451" s="1074"/>
      <c r="H3451" s="1067"/>
      <c r="I3451" s="1059"/>
      <c r="J3451" s="1068"/>
      <c r="K3451" s="1064"/>
      <c r="L3451" s="1069"/>
      <c r="M3451" s="1069"/>
      <c r="N3451" s="1069"/>
      <c r="O3451" s="1070"/>
      <c r="P3451" s="1071"/>
      <c r="Q3451" s="1058"/>
      <c r="R3451" s="1063"/>
    </row>
    <row r="3452" spans="1:18">
      <c r="A3452" s="1058" t="s">
        <v>672</v>
      </c>
      <c r="B3452" s="1065">
        <f ca="1">+H374</f>
        <v>155634.53247500048</v>
      </c>
      <c r="C3452" s="1065">
        <f ca="1">+K374</f>
        <v>795762.95382500044</v>
      </c>
      <c r="D3452" s="1058"/>
      <c r="E3452" s="1058">
        <f>+E3345+1</f>
        <v>16</v>
      </c>
      <c r="F3452" s="1075">
        <f ca="1">IF(TODAY()&lt;[1]D!V11,0,[1]D!Y11)</f>
        <v>0</v>
      </c>
      <c r="G3452" s="1074" t="s">
        <v>660</v>
      </c>
      <c r="H3452" s="1067">
        <f>+H3345</f>
        <v>44181</v>
      </c>
      <c r="I3452" s="1059">
        <f>+I3345</f>
        <v>450</v>
      </c>
      <c r="J3452" s="1068">
        <f t="shared" si="90"/>
        <v>44631</v>
      </c>
      <c r="K3452" s="1064">
        <f t="shared" ca="1" si="91"/>
        <v>155634.53247500048</v>
      </c>
      <c r="L3452" s="1069">
        <v>5</v>
      </c>
      <c r="M3452" s="1069">
        <f ca="1">+K3452*L3452/100</f>
        <v>7781.7266237500244</v>
      </c>
      <c r="N3452" s="1069">
        <f ca="1">+B3452</f>
        <v>155634.53247500048</v>
      </c>
      <c r="O3452" s="1070">
        <f ca="1">IF(+TODAY()&gt;=J3452,0,+M3452)</f>
        <v>7781.7266237500244</v>
      </c>
      <c r="P3452" s="1071">
        <f ca="1">+O3452</f>
        <v>7781.7266237500244</v>
      </c>
      <c r="Q3452" s="1058"/>
      <c r="R3452" s="1063"/>
    </row>
    <row r="3453" spans="1:18" s="90" customFormat="1">
      <c r="A3453" s="1058"/>
      <c r="B3453" s="1065"/>
      <c r="C3453" s="1065"/>
      <c r="D3453" s="1058"/>
      <c r="E3453" s="1058"/>
      <c r="F3453" s="1075"/>
      <c r="G3453" s="1074"/>
      <c r="H3453" s="1067"/>
      <c r="I3453" s="1059"/>
      <c r="J3453" s="1068"/>
      <c r="K3453" s="1064"/>
      <c r="L3453" s="1069"/>
      <c r="M3453" s="1069"/>
      <c r="N3453" s="1069"/>
      <c r="O3453" s="1070"/>
      <c r="P3453" s="1071"/>
      <c r="Q3453" s="1058"/>
      <c r="R3453" s="1063"/>
    </row>
    <row r="3454" spans="1:18" s="90" customFormat="1">
      <c r="A3454" s="1058"/>
      <c r="B3454" s="1065"/>
      <c r="C3454" s="1065"/>
      <c r="D3454" s="1058"/>
      <c r="E3454" s="1058"/>
      <c r="F3454" s="1075"/>
      <c r="G3454" s="1074"/>
      <c r="H3454" s="1067"/>
      <c r="I3454" s="1059"/>
      <c r="J3454" s="1068"/>
      <c r="K3454" s="1064"/>
      <c r="L3454" s="1069"/>
      <c r="M3454" s="1069"/>
      <c r="N3454" s="1069"/>
      <c r="O3454" s="1070"/>
      <c r="P3454" s="1071"/>
      <c r="Q3454" s="1058"/>
      <c r="R3454" s="1063"/>
    </row>
    <row r="3455" spans="1:18" s="90" customFormat="1">
      <c r="A3455" s="1058"/>
      <c r="B3455" s="1065"/>
      <c r="C3455" s="1065"/>
      <c r="D3455" s="1058"/>
      <c r="E3455" s="1058"/>
      <c r="F3455" s="1075"/>
      <c r="G3455" s="1074"/>
      <c r="H3455" s="1067"/>
      <c r="I3455" s="1059"/>
      <c r="J3455" s="1068"/>
      <c r="K3455" s="1064"/>
      <c r="L3455" s="1069"/>
      <c r="M3455" s="1069"/>
      <c r="N3455" s="1069"/>
      <c r="O3455" s="1070"/>
      <c r="P3455" s="1071"/>
      <c r="Q3455" s="1058"/>
      <c r="R3455" s="1063"/>
    </row>
    <row r="3456" spans="1:18" s="90" customFormat="1">
      <c r="A3456" s="1058"/>
      <c r="B3456" s="1065"/>
      <c r="C3456" s="1065"/>
      <c r="D3456" s="1058"/>
      <c r="E3456" s="1058"/>
      <c r="F3456" s="1075"/>
      <c r="G3456" s="1074"/>
      <c r="H3456" s="1067"/>
      <c r="I3456" s="1059"/>
      <c r="J3456" s="1068"/>
      <c r="K3456" s="1064"/>
      <c r="L3456" s="1069"/>
      <c r="M3456" s="1069"/>
      <c r="N3456" s="1069"/>
      <c r="O3456" s="1070"/>
      <c r="P3456" s="1071"/>
      <c r="Q3456" s="1058"/>
      <c r="R3456" s="1063"/>
    </row>
    <row r="3457" spans="1:18" s="90" customFormat="1">
      <c r="A3457" s="1058"/>
      <c r="B3457" s="1065"/>
      <c r="C3457" s="1065"/>
      <c r="D3457" s="1058"/>
      <c r="E3457" s="1058"/>
      <c r="F3457" s="1075"/>
      <c r="G3457" s="1074"/>
      <c r="H3457" s="1067"/>
      <c r="I3457" s="1059"/>
      <c r="J3457" s="1068"/>
      <c r="K3457" s="1064"/>
      <c r="L3457" s="1069"/>
      <c r="M3457" s="1069"/>
      <c r="N3457" s="1069"/>
      <c r="O3457" s="1070"/>
      <c r="P3457" s="1071"/>
      <c r="Q3457" s="1058"/>
      <c r="R3457" s="1063"/>
    </row>
    <row r="3458" spans="1:18" s="90" customFormat="1">
      <c r="A3458" s="1058"/>
      <c r="B3458" s="1065"/>
      <c r="C3458" s="1065"/>
      <c r="D3458" s="1058"/>
      <c r="E3458" s="1058"/>
      <c r="F3458" s="1075"/>
      <c r="G3458" s="1074"/>
      <c r="H3458" s="1067"/>
      <c r="I3458" s="1059"/>
      <c r="J3458" s="1068"/>
      <c r="K3458" s="1064"/>
      <c r="L3458" s="1069"/>
      <c r="M3458" s="1069"/>
      <c r="N3458" s="1069"/>
      <c r="O3458" s="1070"/>
      <c r="P3458" s="1071"/>
      <c r="Q3458" s="1058"/>
      <c r="R3458" s="1063"/>
    </row>
    <row r="3459" spans="1:18" s="90" customFormat="1">
      <c r="A3459" s="1058"/>
      <c r="B3459" s="1065"/>
      <c r="C3459" s="1065"/>
      <c r="D3459" s="1058"/>
      <c r="E3459" s="1058"/>
      <c r="F3459" s="1075"/>
      <c r="G3459" s="1074"/>
      <c r="H3459" s="1067"/>
      <c r="I3459" s="1059"/>
      <c r="J3459" s="1068"/>
      <c r="K3459" s="1064"/>
      <c r="L3459" s="1069"/>
      <c r="M3459" s="1069"/>
      <c r="N3459" s="1069"/>
      <c r="O3459" s="1070"/>
      <c r="P3459" s="1071"/>
      <c r="Q3459" s="1058"/>
      <c r="R3459" s="1063"/>
    </row>
    <row r="3460" spans="1:18" s="90" customFormat="1">
      <c r="A3460" s="1058"/>
      <c r="B3460" s="1065"/>
      <c r="C3460" s="1065"/>
      <c r="D3460" s="1058"/>
      <c r="E3460" s="1058"/>
      <c r="F3460" s="1075"/>
      <c r="G3460" s="1074"/>
      <c r="H3460" s="1067"/>
      <c r="I3460" s="1059"/>
      <c r="J3460" s="1068"/>
      <c r="K3460" s="1064"/>
      <c r="L3460" s="1069"/>
      <c r="M3460" s="1069"/>
      <c r="N3460" s="1069"/>
      <c r="O3460" s="1070"/>
      <c r="P3460" s="1071"/>
      <c r="Q3460" s="1058"/>
      <c r="R3460" s="1063"/>
    </row>
    <row r="3461" spans="1:18" s="90" customFormat="1">
      <c r="A3461" s="1058"/>
      <c r="B3461" s="1065"/>
      <c r="C3461" s="1065"/>
      <c r="D3461" s="1058"/>
      <c r="E3461" s="1058"/>
      <c r="F3461" s="1075"/>
      <c r="G3461" s="1074"/>
      <c r="H3461" s="1067"/>
      <c r="I3461" s="1059"/>
      <c r="J3461" s="1068"/>
      <c r="K3461" s="1064"/>
      <c r="L3461" s="1069"/>
      <c r="M3461" s="1069"/>
      <c r="N3461" s="1069"/>
      <c r="O3461" s="1070"/>
      <c r="P3461" s="1071"/>
      <c r="Q3461" s="1058"/>
      <c r="R3461" s="1063"/>
    </row>
    <row r="3462" spans="1:18" s="90" customFormat="1">
      <c r="A3462" s="1058"/>
      <c r="B3462" s="1065"/>
      <c r="C3462" s="1065"/>
      <c r="D3462" s="1058"/>
      <c r="E3462" s="1058"/>
      <c r="F3462" s="1075"/>
      <c r="G3462" s="1074"/>
      <c r="H3462" s="1067"/>
      <c r="I3462" s="1059"/>
      <c r="J3462" s="1068"/>
      <c r="K3462" s="1064"/>
      <c r="L3462" s="1069"/>
      <c r="M3462" s="1069"/>
      <c r="N3462" s="1069"/>
      <c r="O3462" s="1070"/>
      <c r="P3462" s="1071"/>
      <c r="Q3462" s="1058"/>
      <c r="R3462" s="1063"/>
    </row>
    <row r="3463" spans="1:18" s="90" customFormat="1">
      <c r="A3463" s="1058"/>
      <c r="B3463" s="1065"/>
      <c r="C3463" s="1065"/>
      <c r="D3463" s="1058"/>
      <c r="E3463" s="1058"/>
      <c r="F3463" s="1075"/>
      <c r="G3463" s="1074"/>
      <c r="H3463" s="1067"/>
      <c r="I3463" s="1059"/>
      <c r="J3463" s="1068"/>
      <c r="K3463" s="1064"/>
      <c r="L3463" s="1069"/>
      <c r="M3463" s="1069"/>
      <c r="N3463" s="1069"/>
      <c r="O3463" s="1070"/>
      <c r="P3463" s="1071"/>
      <c r="Q3463" s="1058"/>
      <c r="R3463" s="1063"/>
    </row>
    <row r="3464" spans="1:18" s="90" customFormat="1">
      <c r="A3464" s="1058"/>
      <c r="B3464" s="1065"/>
      <c r="C3464" s="1065"/>
      <c r="D3464" s="1058"/>
      <c r="E3464" s="1058"/>
      <c r="F3464" s="1075"/>
      <c r="G3464" s="1074"/>
      <c r="H3464" s="1067"/>
      <c r="I3464" s="1059"/>
      <c r="J3464" s="1068"/>
      <c r="K3464" s="1064"/>
      <c r="L3464" s="1069"/>
      <c r="M3464" s="1069"/>
      <c r="N3464" s="1069"/>
      <c r="O3464" s="1070"/>
      <c r="P3464" s="1071"/>
      <c r="Q3464" s="1058"/>
      <c r="R3464" s="1063"/>
    </row>
    <row r="3465" spans="1:18" s="90" customFormat="1">
      <c r="A3465" s="1058"/>
      <c r="B3465" s="1065"/>
      <c r="C3465" s="1065"/>
      <c r="D3465" s="1058"/>
      <c r="E3465" s="1058"/>
      <c r="F3465" s="1075"/>
      <c r="G3465" s="1074"/>
      <c r="H3465" s="1067"/>
      <c r="I3465" s="1059"/>
      <c r="J3465" s="1068"/>
      <c r="K3465" s="1064"/>
      <c r="L3465" s="1069"/>
      <c r="M3465" s="1069"/>
      <c r="N3465" s="1069"/>
      <c r="O3465" s="1070"/>
      <c r="P3465" s="1071"/>
      <c r="Q3465" s="1058"/>
      <c r="R3465" s="1063"/>
    </row>
    <row r="3466" spans="1:18" s="90" customFormat="1">
      <c r="A3466" s="1058"/>
      <c r="B3466" s="1065"/>
      <c r="C3466" s="1065"/>
      <c r="D3466" s="1058"/>
      <c r="E3466" s="1058"/>
      <c r="F3466" s="1075"/>
      <c r="G3466" s="1074"/>
      <c r="H3466" s="1067"/>
      <c r="I3466" s="1059"/>
      <c r="J3466" s="1068"/>
      <c r="K3466" s="1064"/>
      <c r="L3466" s="1069"/>
      <c r="M3466" s="1069"/>
      <c r="N3466" s="1069"/>
      <c r="O3466" s="1070"/>
      <c r="P3466" s="1071"/>
      <c r="Q3466" s="1058"/>
      <c r="R3466" s="1063"/>
    </row>
    <row r="3467" spans="1:18" s="90" customFormat="1">
      <c r="A3467" s="1058"/>
      <c r="B3467" s="1065"/>
      <c r="C3467" s="1065"/>
      <c r="D3467" s="1058"/>
      <c r="E3467" s="1058"/>
      <c r="F3467" s="1075"/>
      <c r="G3467" s="1074"/>
      <c r="H3467" s="1067"/>
      <c r="I3467" s="1059"/>
      <c r="J3467" s="1068"/>
      <c r="K3467" s="1064"/>
      <c r="L3467" s="1069"/>
      <c r="M3467" s="1069"/>
      <c r="N3467" s="1069"/>
      <c r="O3467" s="1070"/>
      <c r="P3467" s="1071"/>
      <c r="Q3467" s="1058"/>
      <c r="R3467" s="1063"/>
    </row>
    <row r="3468" spans="1:18" s="90" customFormat="1">
      <c r="A3468" s="1058"/>
      <c r="B3468" s="1065"/>
      <c r="C3468" s="1065"/>
      <c r="D3468" s="1058"/>
      <c r="E3468" s="1058"/>
      <c r="F3468" s="1075"/>
      <c r="G3468" s="1074"/>
      <c r="H3468" s="1067"/>
      <c r="I3468" s="1059"/>
      <c r="J3468" s="1068"/>
      <c r="K3468" s="1064"/>
      <c r="L3468" s="1069"/>
      <c r="M3468" s="1069"/>
      <c r="N3468" s="1069"/>
      <c r="O3468" s="1070"/>
      <c r="P3468" s="1071"/>
      <c r="Q3468" s="1058"/>
      <c r="R3468" s="1063"/>
    </row>
    <row r="3469" spans="1:18" s="90" customFormat="1">
      <c r="A3469" s="1058"/>
      <c r="B3469" s="1065"/>
      <c r="C3469" s="1065"/>
      <c r="D3469" s="1058"/>
      <c r="E3469" s="1058"/>
      <c r="F3469" s="1075"/>
      <c r="G3469" s="1074"/>
      <c r="H3469" s="1067"/>
      <c r="I3469" s="1059"/>
      <c r="J3469" s="1068"/>
      <c r="K3469" s="1064"/>
      <c r="L3469" s="1069"/>
      <c r="M3469" s="1069"/>
      <c r="N3469" s="1069"/>
      <c r="O3469" s="1070"/>
      <c r="P3469" s="1071"/>
      <c r="Q3469" s="1058"/>
      <c r="R3469" s="1063"/>
    </row>
    <row r="3470" spans="1:18" s="90" customFormat="1">
      <c r="A3470" s="1058"/>
      <c r="B3470" s="1065"/>
      <c r="C3470" s="1065"/>
      <c r="D3470" s="1058"/>
      <c r="E3470" s="1058"/>
      <c r="F3470" s="1075"/>
      <c r="G3470" s="1074"/>
      <c r="H3470" s="1067"/>
      <c r="I3470" s="1059"/>
      <c r="J3470" s="1068"/>
      <c r="K3470" s="1064"/>
      <c r="L3470" s="1069"/>
      <c r="M3470" s="1069"/>
      <c r="N3470" s="1069"/>
      <c r="O3470" s="1070"/>
      <c r="P3470" s="1071"/>
      <c r="Q3470" s="1058"/>
      <c r="R3470" s="1063"/>
    </row>
    <row r="3471" spans="1:18" s="90" customFormat="1">
      <c r="A3471" s="1058"/>
      <c r="B3471" s="1065"/>
      <c r="C3471" s="1065"/>
      <c r="D3471" s="1058"/>
      <c r="E3471" s="1058"/>
      <c r="F3471" s="1075"/>
      <c r="G3471" s="1074"/>
      <c r="H3471" s="1067"/>
      <c r="I3471" s="1059"/>
      <c r="J3471" s="1068"/>
      <c r="K3471" s="1064"/>
      <c r="L3471" s="1069"/>
      <c r="M3471" s="1069"/>
      <c r="N3471" s="1069"/>
      <c r="O3471" s="1070"/>
      <c r="P3471" s="1071"/>
      <c r="Q3471" s="1058"/>
      <c r="R3471" s="1063"/>
    </row>
    <row r="3472" spans="1:18" s="90" customFormat="1">
      <c r="A3472" s="1058"/>
      <c r="B3472" s="1065"/>
      <c r="C3472" s="1065"/>
      <c r="D3472" s="1058"/>
      <c r="E3472" s="1058"/>
      <c r="F3472" s="1075"/>
      <c r="G3472" s="1074"/>
      <c r="H3472" s="1067"/>
      <c r="I3472" s="1059"/>
      <c r="J3472" s="1068"/>
      <c r="K3472" s="1064"/>
      <c r="L3472" s="1069"/>
      <c r="M3472" s="1069"/>
      <c r="N3472" s="1069"/>
      <c r="O3472" s="1070"/>
      <c r="P3472" s="1071"/>
      <c r="Q3472" s="1058"/>
      <c r="R3472" s="1063"/>
    </row>
    <row r="3473" spans="1:18" s="90" customFormat="1">
      <c r="A3473" s="1058"/>
      <c r="B3473" s="1065"/>
      <c r="C3473" s="1065"/>
      <c r="D3473" s="1058"/>
      <c r="E3473" s="1058"/>
      <c r="F3473" s="1075"/>
      <c r="G3473" s="1074"/>
      <c r="H3473" s="1067"/>
      <c r="I3473" s="1059"/>
      <c r="J3473" s="1068"/>
      <c r="K3473" s="1064"/>
      <c r="L3473" s="1069"/>
      <c r="M3473" s="1069"/>
      <c r="N3473" s="1069"/>
      <c r="O3473" s="1070"/>
      <c r="P3473" s="1071"/>
      <c r="Q3473" s="1058"/>
      <c r="R3473" s="1063"/>
    </row>
    <row r="3474" spans="1:18" s="90" customFormat="1">
      <c r="A3474" s="1058"/>
      <c r="B3474" s="1065"/>
      <c r="C3474" s="1065"/>
      <c r="D3474" s="1058"/>
      <c r="E3474" s="1058"/>
      <c r="F3474" s="1075"/>
      <c r="G3474" s="1074"/>
      <c r="H3474" s="1067"/>
      <c r="I3474" s="1059"/>
      <c r="J3474" s="1068"/>
      <c r="K3474" s="1064"/>
      <c r="L3474" s="1069"/>
      <c r="M3474" s="1069"/>
      <c r="N3474" s="1069"/>
      <c r="O3474" s="1070"/>
      <c r="P3474" s="1071"/>
      <c r="Q3474" s="1058"/>
      <c r="R3474" s="1063"/>
    </row>
    <row r="3475" spans="1:18" s="90" customFormat="1">
      <c r="A3475" s="1058"/>
      <c r="B3475" s="1065"/>
      <c r="C3475" s="1065"/>
      <c r="D3475" s="1058"/>
      <c r="E3475" s="1058"/>
      <c r="F3475" s="1075"/>
      <c r="G3475" s="1074"/>
      <c r="H3475" s="1067"/>
      <c r="I3475" s="1059"/>
      <c r="J3475" s="1068"/>
      <c r="K3475" s="1064"/>
      <c r="L3475" s="1069"/>
      <c r="M3475" s="1069"/>
      <c r="N3475" s="1069"/>
      <c r="O3475" s="1070"/>
      <c r="P3475" s="1071"/>
      <c r="Q3475" s="1058"/>
      <c r="R3475" s="1063"/>
    </row>
    <row r="3476" spans="1:18" s="90" customFormat="1">
      <c r="A3476" s="1058"/>
      <c r="B3476" s="1065"/>
      <c r="C3476" s="1065"/>
      <c r="D3476" s="1058"/>
      <c r="E3476" s="1058"/>
      <c r="F3476" s="1075"/>
      <c r="G3476" s="1074"/>
      <c r="H3476" s="1067"/>
      <c r="I3476" s="1059"/>
      <c r="J3476" s="1068"/>
      <c r="K3476" s="1064"/>
      <c r="L3476" s="1069"/>
      <c r="M3476" s="1069"/>
      <c r="N3476" s="1069"/>
      <c r="O3476" s="1070"/>
      <c r="P3476" s="1071"/>
      <c r="Q3476" s="1058"/>
      <c r="R3476" s="1063"/>
    </row>
    <row r="3477" spans="1:18" s="90" customFormat="1">
      <c r="A3477" s="1058"/>
      <c r="B3477" s="1065"/>
      <c r="C3477" s="1065"/>
      <c r="D3477" s="1058"/>
      <c r="E3477" s="1058"/>
      <c r="F3477" s="1075"/>
      <c r="G3477" s="1074"/>
      <c r="H3477" s="1067"/>
      <c r="I3477" s="1059"/>
      <c r="J3477" s="1068"/>
      <c r="K3477" s="1064"/>
      <c r="L3477" s="1069"/>
      <c r="M3477" s="1069"/>
      <c r="N3477" s="1069"/>
      <c r="O3477" s="1070"/>
      <c r="P3477" s="1071"/>
      <c r="Q3477" s="1058"/>
      <c r="R3477" s="1063"/>
    </row>
    <row r="3478" spans="1:18" s="90" customFormat="1">
      <c r="A3478" s="1058"/>
      <c r="B3478" s="1065"/>
      <c r="C3478" s="1065"/>
      <c r="D3478" s="1058"/>
      <c r="E3478" s="1058"/>
      <c r="F3478" s="1075"/>
      <c r="G3478" s="1074"/>
      <c r="H3478" s="1067"/>
      <c r="I3478" s="1059"/>
      <c r="J3478" s="1068"/>
      <c r="K3478" s="1064"/>
      <c r="L3478" s="1069"/>
      <c r="M3478" s="1069"/>
      <c r="N3478" s="1069"/>
      <c r="O3478" s="1070"/>
      <c r="P3478" s="1071"/>
      <c r="Q3478" s="1058"/>
      <c r="R3478" s="1063"/>
    </row>
    <row r="3479" spans="1:18" s="90" customFormat="1">
      <c r="A3479" s="1058"/>
      <c r="B3479" s="1065"/>
      <c r="C3479" s="1065"/>
      <c r="D3479" s="1058"/>
      <c r="E3479" s="1058"/>
      <c r="F3479" s="1075"/>
      <c r="G3479" s="1074"/>
      <c r="H3479" s="1067"/>
      <c r="I3479" s="1059"/>
      <c r="J3479" s="1068"/>
      <c r="K3479" s="1064"/>
      <c r="L3479" s="1069"/>
      <c r="M3479" s="1069"/>
      <c r="N3479" s="1069"/>
      <c r="O3479" s="1070"/>
      <c r="P3479" s="1071"/>
      <c r="Q3479" s="1058"/>
      <c r="R3479" s="1063"/>
    </row>
    <row r="3480" spans="1:18" s="90" customFormat="1">
      <c r="A3480" s="1058"/>
      <c r="B3480" s="1065"/>
      <c r="C3480" s="1065"/>
      <c r="D3480" s="1058"/>
      <c r="E3480" s="1058"/>
      <c r="F3480" s="1075"/>
      <c r="G3480" s="1074"/>
      <c r="H3480" s="1067"/>
      <c r="I3480" s="1059"/>
      <c r="J3480" s="1068"/>
      <c r="K3480" s="1064"/>
      <c r="L3480" s="1069"/>
      <c r="M3480" s="1069"/>
      <c r="N3480" s="1069"/>
      <c r="O3480" s="1070"/>
      <c r="P3480" s="1071"/>
      <c r="Q3480" s="1058"/>
      <c r="R3480" s="1063"/>
    </row>
    <row r="3481" spans="1:18" s="90" customFormat="1">
      <c r="A3481" s="1058"/>
      <c r="B3481" s="1065"/>
      <c r="C3481" s="1065"/>
      <c r="D3481" s="1058"/>
      <c r="E3481" s="1058"/>
      <c r="F3481" s="1075"/>
      <c r="G3481" s="1074"/>
      <c r="H3481" s="1067"/>
      <c r="I3481" s="1059"/>
      <c r="J3481" s="1068"/>
      <c r="K3481" s="1064"/>
      <c r="L3481" s="1069"/>
      <c r="M3481" s="1069"/>
      <c r="N3481" s="1069"/>
      <c r="O3481" s="1070"/>
      <c r="P3481" s="1071"/>
      <c r="Q3481" s="1058"/>
      <c r="R3481" s="1063"/>
    </row>
    <row r="3482" spans="1:18" s="90" customFormat="1">
      <c r="A3482" s="1058"/>
      <c r="B3482" s="1065"/>
      <c r="C3482" s="1065"/>
      <c r="D3482" s="1058"/>
      <c r="E3482" s="1058"/>
      <c r="F3482" s="1075"/>
      <c r="G3482" s="1074"/>
      <c r="H3482" s="1067"/>
      <c r="I3482" s="1059"/>
      <c r="J3482" s="1068"/>
      <c r="K3482" s="1064"/>
      <c r="L3482" s="1069"/>
      <c r="M3482" s="1069"/>
      <c r="N3482" s="1069"/>
      <c r="O3482" s="1070"/>
      <c r="P3482" s="1071"/>
      <c r="Q3482" s="1058"/>
      <c r="R3482" s="1063"/>
    </row>
    <row r="3483" spans="1:18" s="90" customFormat="1">
      <c r="A3483" s="1058"/>
      <c r="B3483" s="1065"/>
      <c r="C3483" s="1065"/>
      <c r="D3483" s="1058"/>
      <c r="E3483" s="1058"/>
      <c r="F3483" s="1075"/>
      <c r="G3483" s="1074"/>
      <c r="H3483" s="1067"/>
      <c r="I3483" s="1059"/>
      <c r="J3483" s="1068"/>
      <c r="K3483" s="1064"/>
      <c r="L3483" s="1069"/>
      <c r="M3483" s="1069"/>
      <c r="N3483" s="1069"/>
      <c r="O3483" s="1070"/>
      <c r="P3483" s="1071"/>
      <c r="Q3483" s="1058"/>
      <c r="R3483" s="1063"/>
    </row>
    <row r="3484" spans="1:18" s="90" customFormat="1">
      <c r="A3484" s="1058"/>
      <c r="B3484" s="1065"/>
      <c r="C3484" s="1065"/>
      <c r="D3484" s="1058"/>
      <c r="E3484" s="1058"/>
      <c r="F3484" s="1075"/>
      <c r="G3484" s="1074"/>
      <c r="H3484" s="1067"/>
      <c r="I3484" s="1059"/>
      <c r="J3484" s="1068"/>
      <c r="K3484" s="1064"/>
      <c r="L3484" s="1069"/>
      <c r="M3484" s="1069"/>
      <c r="N3484" s="1069"/>
      <c r="O3484" s="1070"/>
      <c r="P3484" s="1071"/>
      <c r="Q3484" s="1058"/>
      <c r="R3484" s="1063"/>
    </row>
    <row r="3485" spans="1:18" s="90" customFormat="1">
      <c r="A3485" s="1058"/>
      <c r="B3485" s="1065"/>
      <c r="C3485" s="1065"/>
      <c r="D3485" s="1058"/>
      <c r="E3485" s="1058"/>
      <c r="F3485" s="1075"/>
      <c r="G3485" s="1074"/>
      <c r="H3485" s="1067"/>
      <c r="I3485" s="1059"/>
      <c r="J3485" s="1068"/>
      <c r="K3485" s="1064"/>
      <c r="L3485" s="1069"/>
      <c r="M3485" s="1069"/>
      <c r="N3485" s="1069"/>
      <c r="O3485" s="1070"/>
      <c r="P3485" s="1071"/>
      <c r="Q3485" s="1058"/>
      <c r="R3485" s="1063"/>
    </row>
    <row r="3486" spans="1:18" s="90" customFormat="1">
      <c r="A3486" s="1058"/>
      <c r="B3486" s="1065"/>
      <c r="C3486" s="1065"/>
      <c r="D3486" s="1058"/>
      <c r="E3486" s="1058"/>
      <c r="F3486" s="1075"/>
      <c r="G3486" s="1074"/>
      <c r="H3486" s="1067"/>
      <c r="I3486" s="1059"/>
      <c r="J3486" s="1068"/>
      <c r="K3486" s="1064"/>
      <c r="L3486" s="1069"/>
      <c r="M3486" s="1069"/>
      <c r="N3486" s="1069"/>
      <c r="O3486" s="1070"/>
      <c r="P3486" s="1071"/>
      <c r="Q3486" s="1058"/>
      <c r="R3486" s="1063"/>
    </row>
    <row r="3487" spans="1:18" s="90" customFormat="1">
      <c r="A3487" s="1058"/>
      <c r="B3487" s="1065"/>
      <c r="C3487" s="1065"/>
      <c r="D3487" s="1058"/>
      <c r="E3487" s="1058"/>
      <c r="F3487" s="1075"/>
      <c r="G3487" s="1074"/>
      <c r="H3487" s="1067"/>
      <c r="I3487" s="1059"/>
      <c r="J3487" s="1068"/>
      <c r="K3487" s="1064"/>
      <c r="L3487" s="1069"/>
      <c r="M3487" s="1069"/>
      <c r="N3487" s="1069"/>
      <c r="O3487" s="1070"/>
      <c r="P3487" s="1071"/>
      <c r="Q3487" s="1058"/>
      <c r="R3487" s="1063"/>
    </row>
    <row r="3488" spans="1:18" s="90" customFormat="1">
      <c r="A3488" s="1058"/>
      <c r="B3488" s="1065"/>
      <c r="C3488" s="1065"/>
      <c r="D3488" s="1058"/>
      <c r="E3488" s="1058"/>
      <c r="F3488" s="1075"/>
      <c r="G3488" s="1074"/>
      <c r="H3488" s="1067"/>
      <c r="I3488" s="1059"/>
      <c r="J3488" s="1068"/>
      <c r="K3488" s="1064"/>
      <c r="L3488" s="1069"/>
      <c r="M3488" s="1069"/>
      <c r="N3488" s="1069"/>
      <c r="O3488" s="1070"/>
      <c r="P3488" s="1071"/>
      <c r="Q3488" s="1058"/>
      <c r="R3488" s="1063"/>
    </row>
    <row r="3489" spans="1:18" s="90" customFormat="1">
      <c r="A3489" s="1058"/>
      <c r="B3489" s="1065"/>
      <c r="C3489" s="1065"/>
      <c r="D3489" s="1058"/>
      <c r="E3489" s="1058"/>
      <c r="F3489" s="1075"/>
      <c r="G3489" s="1074"/>
      <c r="H3489" s="1067"/>
      <c r="I3489" s="1059"/>
      <c r="J3489" s="1068"/>
      <c r="K3489" s="1064"/>
      <c r="L3489" s="1069"/>
      <c r="M3489" s="1069"/>
      <c r="N3489" s="1069"/>
      <c r="O3489" s="1070"/>
      <c r="P3489" s="1071"/>
      <c r="Q3489" s="1058"/>
      <c r="R3489" s="1063"/>
    </row>
    <row r="3490" spans="1:18" s="90" customFormat="1">
      <c r="A3490" s="1058"/>
      <c r="B3490" s="1065"/>
      <c r="C3490" s="1065"/>
      <c r="D3490" s="1058"/>
      <c r="E3490" s="1058"/>
      <c r="F3490" s="1075"/>
      <c r="G3490" s="1074"/>
      <c r="H3490" s="1067"/>
      <c r="I3490" s="1059"/>
      <c r="J3490" s="1068"/>
      <c r="K3490" s="1064"/>
      <c r="L3490" s="1069"/>
      <c r="M3490" s="1069"/>
      <c r="N3490" s="1069"/>
      <c r="O3490" s="1070"/>
      <c r="P3490" s="1071"/>
      <c r="Q3490" s="1058"/>
      <c r="R3490" s="1063"/>
    </row>
    <row r="3491" spans="1:18" s="90" customFormat="1">
      <c r="A3491" s="1058"/>
      <c r="B3491" s="1065"/>
      <c r="C3491" s="1065"/>
      <c r="D3491" s="1058"/>
      <c r="E3491" s="1058"/>
      <c r="F3491" s="1075"/>
      <c r="G3491" s="1074"/>
      <c r="H3491" s="1067"/>
      <c r="I3491" s="1059"/>
      <c r="J3491" s="1068"/>
      <c r="K3491" s="1064"/>
      <c r="L3491" s="1069"/>
      <c r="M3491" s="1069"/>
      <c r="N3491" s="1069"/>
      <c r="O3491" s="1070"/>
      <c r="P3491" s="1071"/>
      <c r="Q3491" s="1058"/>
      <c r="R3491" s="1063"/>
    </row>
    <row r="3492" spans="1:18" s="90" customFormat="1">
      <c r="A3492" s="1058"/>
      <c r="B3492" s="1065"/>
      <c r="C3492" s="1065"/>
      <c r="D3492" s="1058"/>
      <c r="E3492" s="1058"/>
      <c r="F3492" s="1075"/>
      <c r="G3492" s="1074"/>
      <c r="H3492" s="1067"/>
      <c r="I3492" s="1059"/>
      <c r="J3492" s="1068"/>
      <c r="K3492" s="1064"/>
      <c r="L3492" s="1069"/>
      <c r="M3492" s="1069"/>
      <c r="N3492" s="1069"/>
      <c r="O3492" s="1070"/>
      <c r="P3492" s="1071"/>
      <c r="Q3492" s="1058"/>
      <c r="R3492" s="1063"/>
    </row>
    <row r="3493" spans="1:18" s="90" customFormat="1">
      <c r="A3493" s="1058"/>
      <c r="B3493" s="1065"/>
      <c r="C3493" s="1065"/>
      <c r="D3493" s="1058"/>
      <c r="E3493" s="1058"/>
      <c r="F3493" s="1075"/>
      <c r="G3493" s="1074"/>
      <c r="H3493" s="1067"/>
      <c r="I3493" s="1059"/>
      <c r="J3493" s="1068"/>
      <c r="K3493" s="1064"/>
      <c r="L3493" s="1069"/>
      <c r="M3493" s="1069"/>
      <c r="N3493" s="1069"/>
      <c r="O3493" s="1070"/>
      <c r="P3493" s="1071"/>
      <c r="Q3493" s="1058"/>
      <c r="R3493" s="1063"/>
    </row>
    <row r="3494" spans="1:18" s="90" customFormat="1">
      <c r="A3494" s="1058"/>
      <c r="B3494" s="1065"/>
      <c r="C3494" s="1065"/>
      <c r="D3494" s="1058"/>
      <c r="E3494" s="1058"/>
      <c r="F3494" s="1075"/>
      <c r="G3494" s="1074"/>
      <c r="H3494" s="1067"/>
      <c r="I3494" s="1059"/>
      <c r="J3494" s="1068"/>
      <c r="K3494" s="1064"/>
      <c r="L3494" s="1069"/>
      <c r="M3494" s="1069"/>
      <c r="N3494" s="1069"/>
      <c r="O3494" s="1070"/>
      <c r="P3494" s="1071"/>
      <c r="Q3494" s="1058"/>
      <c r="R3494" s="1063"/>
    </row>
    <row r="3495" spans="1:18" s="90" customFormat="1">
      <c r="A3495" s="1058"/>
      <c r="B3495" s="1065"/>
      <c r="C3495" s="1065"/>
      <c r="D3495" s="1058"/>
      <c r="E3495" s="1058"/>
      <c r="F3495" s="1075"/>
      <c r="G3495" s="1074"/>
      <c r="H3495" s="1067"/>
      <c r="I3495" s="1059"/>
      <c r="J3495" s="1068"/>
      <c r="K3495" s="1064"/>
      <c r="L3495" s="1069"/>
      <c r="M3495" s="1069"/>
      <c r="N3495" s="1069"/>
      <c r="O3495" s="1070"/>
      <c r="P3495" s="1071"/>
      <c r="Q3495" s="1058"/>
      <c r="R3495" s="1063"/>
    </row>
    <row r="3496" spans="1:18" s="90" customFormat="1">
      <c r="A3496" s="1058"/>
      <c r="B3496" s="1065"/>
      <c r="C3496" s="1065"/>
      <c r="D3496" s="1058"/>
      <c r="E3496" s="1058"/>
      <c r="F3496" s="1075"/>
      <c r="G3496" s="1074"/>
      <c r="H3496" s="1067"/>
      <c r="I3496" s="1059"/>
      <c r="J3496" s="1068"/>
      <c r="K3496" s="1064"/>
      <c r="L3496" s="1069"/>
      <c r="M3496" s="1069"/>
      <c r="N3496" s="1069"/>
      <c r="O3496" s="1070"/>
      <c r="P3496" s="1071"/>
      <c r="Q3496" s="1058"/>
      <c r="R3496" s="1063"/>
    </row>
    <row r="3497" spans="1:18" s="90" customFormat="1">
      <c r="A3497" s="1058"/>
      <c r="B3497" s="1065"/>
      <c r="C3497" s="1065"/>
      <c r="D3497" s="1058"/>
      <c r="E3497" s="1058"/>
      <c r="F3497" s="1075"/>
      <c r="G3497" s="1074"/>
      <c r="H3497" s="1067"/>
      <c r="I3497" s="1059"/>
      <c r="J3497" s="1068"/>
      <c r="K3497" s="1064"/>
      <c r="L3497" s="1069"/>
      <c r="M3497" s="1069"/>
      <c r="N3497" s="1069"/>
      <c r="O3497" s="1070"/>
      <c r="P3497" s="1071"/>
      <c r="Q3497" s="1058"/>
      <c r="R3497" s="1063"/>
    </row>
    <row r="3498" spans="1:18" s="90" customFormat="1">
      <c r="A3498" s="1058"/>
      <c r="B3498" s="1065"/>
      <c r="C3498" s="1065"/>
      <c r="D3498" s="1058"/>
      <c r="E3498" s="1058"/>
      <c r="F3498" s="1075"/>
      <c r="G3498" s="1074"/>
      <c r="H3498" s="1067"/>
      <c r="I3498" s="1059"/>
      <c r="J3498" s="1068"/>
      <c r="K3498" s="1064"/>
      <c r="L3498" s="1069"/>
      <c r="M3498" s="1069"/>
      <c r="N3498" s="1069"/>
      <c r="O3498" s="1070"/>
      <c r="P3498" s="1071"/>
      <c r="Q3498" s="1058"/>
      <c r="R3498" s="1063"/>
    </row>
    <row r="3499" spans="1:18" s="90" customFormat="1">
      <c r="A3499" s="1058"/>
      <c r="B3499" s="1065"/>
      <c r="C3499" s="1065"/>
      <c r="D3499" s="1058"/>
      <c r="E3499" s="1058"/>
      <c r="F3499" s="1075"/>
      <c r="G3499" s="1074"/>
      <c r="H3499" s="1067"/>
      <c r="I3499" s="1059"/>
      <c r="J3499" s="1068"/>
      <c r="K3499" s="1064"/>
      <c r="L3499" s="1069"/>
      <c r="M3499" s="1069"/>
      <c r="N3499" s="1069"/>
      <c r="O3499" s="1070"/>
      <c r="P3499" s="1071"/>
      <c r="Q3499" s="1058"/>
      <c r="R3499" s="1063"/>
    </row>
    <row r="3500" spans="1:18" s="90" customFormat="1">
      <c r="A3500" s="1058"/>
      <c r="B3500" s="1065"/>
      <c r="C3500" s="1065"/>
      <c r="D3500" s="1058"/>
      <c r="E3500" s="1058"/>
      <c r="F3500" s="1075"/>
      <c r="G3500" s="1074"/>
      <c r="H3500" s="1067"/>
      <c r="I3500" s="1059"/>
      <c r="J3500" s="1068"/>
      <c r="K3500" s="1064"/>
      <c r="L3500" s="1069"/>
      <c r="M3500" s="1069"/>
      <c r="N3500" s="1069"/>
      <c r="O3500" s="1070"/>
      <c r="P3500" s="1071"/>
      <c r="Q3500" s="1058"/>
      <c r="R3500" s="1063"/>
    </row>
    <row r="3501" spans="1:18" s="90" customFormat="1">
      <c r="A3501" s="1058"/>
      <c r="B3501" s="1065"/>
      <c r="C3501" s="1065"/>
      <c r="D3501" s="1058"/>
      <c r="E3501" s="1058"/>
      <c r="F3501" s="1075"/>
      <c r="G3501" s="1074"/>
      <c r="H3501" s="1067"/>
      <c r="I3501" s="1059"/>
      <c r="J3501" s="1068"/>
      <c r="K3501" s="1064"/>
      <c r="L3501" s="1069"/>
      <c r="M3501" s="1069"/>
      <c r="N3501" s="1069"/>
      <c r="O3501" s="1070"/>
      <c r="P3501" s="1071"/>
      <c r="Q3501" s="1058"/>
      <c r="R3501" s="1063"/>
    </row>
    <row r="3502" spans="1:18" s="90" customFormat="1">
      <c r="A3502" s="1058"/>
      <c r="B3502" s="1065"/>
      <c r="C3502" s="1065"/>
      <c r="D3502" s="1058"/>
      <c r="E3502" s="1058"/>
      <c r="F3502" s="1075"/>
      <c r="G3502" s="1074"/>
      <c r="H3502" s="1067"/>
      <c r="I3502" s="1059"/>
      <c r="J3502" s="1068"/>
      <c r="K3502" s="1064"/>
      <c r="L3502" s="1069"/>
      <c r="M3502" s="1069"/>
      <c r="N3502" s="1069"/>
      <c r="O3502" s="1070"/>
      <c r="P3502" s="1071"/>
      <c r="Q3502" s="1058"/>
      <c r="R3502" s="1063"/>
    </row>
    <row r="3503" spans="1:18" s="90" customFormat="1">
      <c r="A3503" s="1058"/>
      <c r="B3503" s="1065"/>
      <c r="C3503" s="1065"/>
      <c r="D3503" s="1058"/>
      <c r="E3503" s="1058"/>
      <c r="F3503" s="1075"/>
      <c r="G3503" s="1074"/>
      <c r="H3503" s="1067"/>
      <c r="I3503" s="1059"/>
      <c r="J3503" s="1068"/>
      <c r="K3503" s="1064"/>
      <c r="L3503" s="1069"/>
      <c r="M3503" s="1069"/>
      <c r="N3503" s="1069"/>
      <c r="O3503" s="1070"/>
      <c r="P3503" s="1071"/>
      <c r="Q3503" s="1058"/>
      <c r="R3503" s="1063"/>
    </row>
    <row r="3504" spans="1:18" s="90" customFormat="1">
      <c r="A3504" s="1058"/>
      <c r="B3504" s="1065"/>
      <c r="C3504" s="1065"/>
      <c r="D3504" s="1058"/>
      <c r="E3504" s="1058"/>
      <c r="F3504" s="1075"/>
      <c r="G3504" s="1074"/>
      <c r="H3504" s="1067"/>
      <c r="I3504" s="1059"/>
      <c r="J3504" s="1068"/>
      <c r="K3504" s="1064"/>
      <c r="L3504" s="1069"/>
      <c r="M3504" s="1069"/>
      <c r="N3504" s="1069"/>
      <c r="O3504" s="1070"/>
      <c r="P3504" s="1071"/>
      <c r="Q3504" s="1058"/>
      <c r="R3504" s="1063"/>
    </row>
    <row r="3505" spans="1:18" s="90" customFormat="1">
      <c r="A3505" s="1058"/>
      <c r="B3505" s="1065"/>
      <c r="C3505" s="1065"/>
      <c r="D3505" s="1058"/>
      <c r="E3505" s="1058"/>
      <c r="F3505" s="1075"/>
      <c r="G3505" s="1074"/>
      <c r="H3505" s="1067"/>
      <c r="I3505" s="1059"/>
      <c r="J3505" s="1068"/>
      <c r="K3505" s="1064"/>
      <c r="L3505" s="1069"/>
      <c r="M3505" s="1069"/>
      <c r="N3505" s="1069"/>
      <c r="O3505" s="1070"/>
      <c r="P3505" s="1071"/>
      <c r="Q3505" s="1058"/>
      <c r="R3505" s="1063"/>
    </row>
    <row r="3506" spans="1:18" s="90" customFormat="1">
      <c r="A3506" s="1058"/>
      <c r="B3506" s="1065"/>
      <c r="C3506" s="1065"/>
      <c r="D3506" s="1058"/>
      <c r="E3506" s="1058"/>
      <c r="F3506" s="1075"/>
      <c r="G3506" s="1074"/>
      <c r="H3506" s="1067"/>
      <c r="I3506" s="1059"/>
      <c r="J3506" s="1068"/>
      <c r="K3506" s="1064"/>
      <c r="L3506" s="1069"/>
      <c r="M3506" s="1069"/>
      <c r="N3506" s="1069"/>
      <c r="O3506" s="1070"/>
      <c r="P3506" s="1071"/>
      <c r="Q3506" s="1058"/>
      <c r="R3506" s="1063"/>
    </row>
    <row r="3507" spans="1:18" s="90" customFormat="1">
      <c r="A3507" s="1058"/>
      <c r="B3507" s="1065"/>
      <c r="C3507" s="1065"/>
      <c r="D3507" s="1058"/>
      <c r="E3507" s="1058"/>
      <c r="F3507" s="1075"/>
      <c r="G3507" s="1074"/>
      <c r="H3507" s="1067"/>
      <c r="I3507" s="1059"/>
      <c r="J3507" s="1068"/>
      <c r="K3507" s="1064"/>
      <c r="L3507" s="1069"/>
      <c r="M3507" s="1069"/>
      <c r="N3507" s="1069"/>
      <c r="O3507" s="1070"/>
      <c r="P3507" s="1071"/>
      <c r="Q3507" s="1058"/>
      <c r="R3507" s="1063"/>
    </row>
    <row r="3508" spans="1:18" s="90" customFormat="1">
      <c r="A3508" s="1058"/>
      <c r="B3508" s="1065"/>
      <c r="C3508" s="1065"/>
      <c r="D3508" s="1058"/>
      <c r="E3508" s="1058"/>
      <c r="F3508" s="1075"/>
      <c r="G3508" s="1074"/>
      <c r="H3508" s="1067"/>
      <c r="I3508" s="1059"/>
      <c r="J3508" s="1068"/>
      <c r="K3508" s="1064"/>
      <c r="L3508" s="1069"/>
      <c r="M3508" s="1069"/>
      <c r="N3508" s="1069"/>
      <c r="O3508" s="1070"/>
      <c r="P3508" s="1071"/>
      <c r="Q3508" s="1058"/>
      <c r="R3508" s="1063"/>
    </row>
    <row r="3509" spans="1:18" s="90" customFormat="1">
      <c r="A3509" s="1058"/>
      <c r="B3509" s="1065"/>
      <c r="C3509" s="1065"/>
      <c r="D3509" s="1058"/>
      <c r="E3509" s="1058"/>
      <c r="F3509" s="1075"/>
      <c r="G3509" s="1074"/>
      <c r="H3509" s="1067"/>
      <c r="I3509" s="1059"/>
      <c r="J3509" s="1068"/>
      <c r="K3509" s="1064"/>
      <c r="L3509" s="1069"/>
      <c r="M3509" s="1069"/>
      <c r="N3509" s="1069"/>
      <c r="O3509" s="1070"/>
      <c r="P3509" s="1071"/>
      <c r="Q3509" s="1058"/>
      <c r="R3509" s="1063"/>
    </row>
    <row r="3510" spans="1:18" s="90" customFormat="1">
      <c r="A3510" s="1058"/>
      <c r="B3510" s="1065"/>
      <c r="C3510" s="1065"/>
      <c r="D3510" s="1058"/>
      <c r="E3510" s="1058"/>
      <c r="F3510" s="1075"/>
      <c r="G3510" s="1074"/>
      <c r="H3510" s="1067"/>
      <c r="I3510" s="1059"/>
      <c r="J3510" s="1068"/>
      <c r="K3510" s="1064"/>
      <c r="L3510" s="1069"/>
      <c r="M3510" s="1069"/>
      <c r="N3510" s="1069"/>
      <c r="O3510" s="1070"/>
      <c r="P3510" s="1071"/>
      <c r="Q3510" s="1058"/>
      <c r="R3510" s="1063"/>
    </row>
    <row r="3511" spans="1:18" s="90" customFormat="1">
      <c r="A3511" s="1058"/>
      <c r="B3511" s="1065"/>
      <c r="C3511" s="1065"/>
      <c r="D3511" s="1058"/>
      <c r="E3511" s="1058"/>
      <c r="F3511" s="1075"/>
      <c r="G3511" s="1074"/>
      <c r="H3511" s="1067"/>
      <c r="I3511" s="1059"/>
      <c r="J3511" s="1068"/>
      <c r="K3511" s="1064"/>
      <c r="L3511" s="1069"/>
      <c r="M3511" s="1069"/>
      <c r="N3511" s="1069"/>
      <c r="O3511" s="1070"/>
      <c r="P3511" s="1071"/>
      <c r="Q3511" s="1058"/>
      <c r="R3511" s="1063"/>
    </row>
    <row r="3512" spans="1:18" s="90" customFormat="1">
      <c r="A3512" s="1058"/>
      <c r="B3512" s="1065"/>
      <c r="C3512" s="1065"/>
      <c r="D3512" s="1058"/>
      <c r="E3512" s="1058"/>
      <c r="F3512" s="1075"/>
      <c r="G3512" s="1074"/>
      <c r="H3512" s="1067"/>
      <c r="I3512" s="1059"/>
      <c r="J3512" s="1068"/>
      <c r="K3512" s="1064"/>
      <c r="L3512" s="1069"/>
      <c r="M3512" s="1069"/>
      <c r="N3512" s="1069"/>
      <c r="O3512" s="1070"/>
      <c r="P3512" s="1071"/>
      <c r="Q3512" s="1058"/>
      <c r="R3512" s="1063"/>
    </row>
    <row r="3513" spans="1:18" s="90" customFormat="1">
      <c r="A3513" s="1058"/>
      <c r="B3513" s="1065"/>
      <c r="C3513" s="1065"/>
      <c r="D3513" s="1058"/>
      <c r="E3513" s="1058"/>
      <c r="F3513" s="1075"/>
      <c r="G3513" s="1074"/>
      <c r="H3513" s="1067"/>
      <c r="I3513" s="1059"/>
      <c r="J3513" s="1068"/>
      <c r="K3513" s="1064"/>
      <c r="L3513" s="1069"/>
      <c r="M3513" s="1069"/>
      <c r="N3513" s="1069"/>
      <c r="O3513" s="1070"/>
      <c r="P3513" s="1071"/>
      <c r="Q3513" s="1058"/>
      <c r="R3513" s="1063"/>
    </row>
    <row r="3514" spans="1:18" s="90" customFormat="1">
      <c r="A3514" s="1058"/>
      <c r="B3514" s="1065"/>
      <c r="C3514" s="1065"/>
      <c r="D3514" s="1058"/>
      <c r="E3514" s="1058"/>
      <c r="F3514" s="1075"/>
      <c r="G3514" s="1074"/>
      <c r="H3514" s="1067"/>
      <c r="I3514" s="1059"/>
      <c r="J3514" s="1068"/>
      <c r="K3514" s="1064"/>
      <c r="L3514" s="1069"/>
      <c r="M3514" s="1069"/>
      <c r="N3514" s="1069"/>
      <c r="O3514" s="1070"/>
      <c r="P3514" s="1071"/>
      <c r="Q3514" s="1058"/>
      <c r="R3514" s="1063"/>
    </row>
    <row r="3515" spans="1:18" s="90" customFormat="1">
      <c r="A3515" s="1058"/>
      <c r="B3515" s="1065"/>
      <c r="C3515" s="1065"/>
      <c r="D3515" s="1058"/>
      <c r="E3515" s="1058"/>
      <c r="F3515" s="1075"/>
      <c r="G3515" s="1074"/>
      <c r="H3515" s="1067"/>
      <c r="I3515" s="1059"/>
      <c r="J3515" s="1068"/>
      <c r="K3515" s="1064"/>
      <c r="L3515" s="1069"/>
      <c r="M3515" s="1069"/>
      <c r="N3515" s="1069"/>
      <c r="O3515" s="1070"/>
      <c r="P3515" s="1071"/>
      <c r="Q3515" s="1058"/>
      <c r="R3515" s="1063"/>
    </row>
    <row r="3516" spans="1:18" s="90" customFormat="1">
      <c r="A3516" s="1058"/>
      <c r="B3516" s="1065"/>
      <c r="C3516" s="1065"/>
      <c r="D3516" s="1058"/>
      <c r="E3516" s="1058"/>
      <c r="F3516" s="1075"/>
      <c r="G3516" s="1074"/>
      <c r="H3516" s="1067"/>
      <c r="I3516" s="1059"/>
      <c r="J3516" s="1068"/>
      <c r="K3516" s="1064"/>
      <c r="L3516" s="1069"/>
      <c r="M3516" s="1069"/>
      <c r="N3516" s="1069"/>
      <c r="O3516" s="1070"/>
      <c r="P3516" s="1071"/>
      <c r="Q3516" s="1058"/>
      <c r="R3516" s="1063"/>
    </row>
    <row r="3517" spans="1:18" s="90" customFormat="1">
      <c r="A3517" s="1058"/>
      <c r="B3517" s="1065"/>
      <c r="C3517" s="1065"/>
      <c r="D3517" s="1058"/>
      <c r="E3517" s="1058"/>
      <c r="F3517" s="1075"/>
      <c r="G3517" s="1074"/>
      <c r="H3517" s="1067"/>
      <c r="I3517" s="1059"/>
      <c r="J3517" s="1068"/>
      <c r="K3517" s="1064"/>
      <c r="L3517" s="1069"/>
      <c r="M3517" s="1069"/>
      <c r="N3517" s="1069"/>
      <c r="O3517" s="1070"/>
      <c r="P3517" s="1071"/>
      <c r="Q3517" s="1058"/>
      <c r="R3517" s="1063"/>
    </row>
    <row r="3518" spans="1:18" s="90" customFormat="1">
      <c r="A3518" s="1058"/>
      <c r="B3518" s="1065"/>
      <c r="C3518" s="1065"/>
      <c r="D3518" s="1058"/>
      <c r="E3518" s="1058"/>
      <c r="F3518" s="1075"/>
      <c r="G3518" s="1074"/>
      <c r="H3518" s="1067"/>
      <c r="I3518" s="1059"/>
      <c r="J3518" s="1068"/>
      <c r="K3518" s="1064"/>
      <c r="L3518" s="1069"/>
      <c r="M3518" s="1069"/>
      <c r="N3518" s="1069"/>
      <c r="O3518" s="1070"/>
      <c r="P3518" s="1071"/>
      <c r="Q3518" s="1058"/>
      <c r="R3518" s="1063"/>
    </row>
    <row r="3519" spans="1:18" s="90" customFormat="1">
      <c r="A3519" s="1058"/>
      <c r="B3519" s="1065"/>
      <c r="C3519" s="1065"/>
      <c r="D3519" s="1058"/>
      <c r="E3519" s="1058"/>
      <c r="F3519" s="1075"/>
      <c r="G3519" s="1074"/>
      <c r="H3519" s="1067"/>
      <c r="I3519" s="1059"/>
      <c r="J3519" s="1068"/>
      <c r="K3519" s="1064"/>
      <c r="L3519" s="1069"/>
      <c r="M3519" s="1069"/>
      <c r="N3519" s="1069"/>
      <c r="O3519" s="1070"/>
      <c r="P3519" s="1071"/>
      <c r="Q3519" s="1058"/>
      <c r="R3519" s="1063"/>
    </row>
    <row r="3520" spans="1:18" s="90" customFormat="1">
      <c r="A3520" s="1058"/>
      <c r="B3520" s="1065"/>
      <c r="C3520" s="1065"/>
      <c r="D3520" s="1058"/>
      <c r="E3520" s="1058"/>
      <c r="F3520" s="1075"/>
      <c r="G3520" s="1074"/>
      <c r="H3520" s="1067"/>
      <c r="I3520" s="1059"/>
      <c r="J3520" s="1068"/>
      <c r="K3520" s="1064"/>
      <c r="L3520" s="1069"/>
      <c r="M3520" s="1069"/>
      <c r="N3520" s="1069"/>
      <c r="O3520" s="1070"/>
      <c r="P3520" s="1071"/>
      <c r="Q3520" s="1058"/>
      <c r="R3520" s="1063"/>
    </row>
    <row r="3521" spans="1:18" s="90" customFormat="1">
      <c r="A3521" s="1058"/>
      <c r="B3521" s="1065"/>
      <c r="C3521" s="1065"/>
      <c r="D3521" s="1058"/>
      <c r="E3521" s="1058"/>
      <c r="F3521" s="1075"/>
      <c r="G3521" s="1074"/>
      <c r="H3521" s="1067"/>
      <c r="I3521" s="1059"/>
      <c r="J3521" s="1068"/>
      <c r="K3521" s="1064"/>
      <c r="L3521" s="1069"/>
      <c r="M3521" s="1069"/>
      <c r="N3521" s="1069"/>
      <c r="O3521" s="1070"/>
      <c r="P3521" s="1071"/>
      <c r="Q3521" s="1058"/>
      <c r="R3521" s="1063"/>
    </row>
    <row r="3522" spans="1:18" s="90" customFormat="1">
      <c r="A3522" s="1058"/>
      <c r="B3522" s="1065"/>
      <c r="C3522" s="1065"/>
      <c r="D3522" s="1058"/>
      <c r="E3522" s="1058"/>
      <c r="F3522" s="1075"/>
      <c r="G3522" s="1074"/>
      <c r="H3522" s="1067"/>
      <c r="I3522" s="1059"/>
      <c r="J3522" s="1068"/>
      <c r="K3522" s="1064"/>
      <c r="L3522" s="1069"/>
      <c r="M3522" s="1069"/>
      <c r="N3522" s="1069"/>
      <c r="O3522" s="1070"/>
      <c r="P3522" s="1071"/>
      <c r="Q3522" s="1058"/>
      <c r="R3522" s="1063"/>
    </row>
    <row r="3523" spans="1:18" s="90" customFormat="1">
      <c r="A3523" s="1058"/>
      <c r="B3523" s="1065"/>
      <c r="C3523" s="1065"/>
      <c r="D3523" s="1058"/>
      <c r="E3523" s="1058"/>
      <c r="F3523" s="1075"/>
      <c r="G3523" s="1074"/>
      <c r="H3523" s="1067"/>
      <c r="I3523" s="1059"/>
      <c r="J3523" s="1068"/>
      <c r="K3523" s="1064"/>
      <c r="L3523" s="1069"/>
      <c r="M3523" s="1069"/>
      <c r="N3523" s="1069"/>
      <c r="O3523" s="1070"/>
      <c r="P3523" s="1071"/>
      <c r="Q3523" s="1058"/>
      <c r="R3523" s="1063"/>
    </row>
    <row r="3524" spans="1:18" s="90" customFormat="1">
      <c r="A3524" s="1058"/>
      <c r="B3524" s="1065"/>
      <c r="C3524" s="1065"/>
      <c r="D3524" s="1058"/>
      <c r="E3524" s="1058"/>
      <c r="F3524" s="1075"/>
      <c r="G3524" s="1074"/>
      <c r="H3524" s="1067"/>
      <c r="I3524" s="1059"/>
      <c r="J3524" s="1068"/>
      <c r="K3524" s="1064"/>
      <c r="L3524" s="1069"/>
      <c r="M3524" s="1069"/>
      <c r="N3524" s="1069"/>
      <c r="O3524" s="1070"/>
      <c r="P3524" s="1071"/>
      <c r="Q3524" s="1058"/>
      <c r="R3524" s="1063"/>
    </row>
    <row r="3525" spans="1:18" s="90" customFormat="1">
      <c r="A3525" s="1058"/>
      <c r="B3525" s="1065"/>
      <c r="C3525" s="1065"/>
      <c r="D3525" s="1058"/>
      <c r="E3525" s="1058"/>
      <c r="F3525" s="1075"/>
      <c r="G3525" s="1074"/>
      <c r="H3525" s="1067"/>
      <c r="I3525" s="1059"/>
      <c r="J3525" s="1068"/>
      <c r="K3525" s="1064"/>
      <c r="L3525" s="1069"/>
      <c r="M3525" s="1069"/>
      <c r="N3525" s="1069"/>
      <c r="O3525" s="1070"/>
      <c r="P3525" s="1071"/>
      <c r="Q3525" s="1058"/>
      <c r="R3525" s="1063"/>
    </row>
    <row r="3526" spans="1:18" s="90" customFormat="1">
      <c r="A3526" s="1058"/>
      <c r="B3526" s="1065"/>
      <c r="C3526" s="1065"/>
      <c r="D3526" s="1058"/>
      <c r="E3526" s="1058"/>
      <c r="F3526" s="1075"/>
      <c r="G3526" s="1074"/>
      <c r="H3526" s="1067"/>
      <c r="I3526" s="1059"/>
      <c r="J3526" s="1068"/>
      <c r="K3526" s="1064"/>
      <c r="L3526" s="1069"/>
      <c r="M3526" s="1069"/>
      <c r="N3526" s="1069"/>
      <c r="O3526" s="1070"/>
      <c r="P3526" s="1071"/>
      <c r="Q3526" s="1058"/>
      <c r="R3526" s="1063"/>
    </row>
    <row r="3527" spans="1:18" s="90" customFormat="1">
      <c r="A3527" s="1058"/>
      <c r="B3527" s="1065"/>
      <c r="C3527" s="1065"/>
      <c r="D3527" s="1058"/>
      <c r="E3527" s="1058"/>
      <c r="F3527" s="1075"/>
      <c r="G3527" s="1074"/>
      <c r="H3527" s="1067"/>
      <c r="I3527" s="1059"/>
      <c r="J3527" s="1068"/>
      <c r="K3527" s="1064"/>
      <c r="L3527" s="1069"/>
      <c r="M3527" s="1069"/>
      <c r="N3527" s="1069"/>
      <c r="O3527" s="1070"/>
      <c r="P3527" s="1071"/>
      <c r="Q3527" s="1058"/>
      <c r="R3527" s="1063"/>
    </row>
    <row r="3528" spans="1:18" s="90" customFormat="1">
      <c r="A3528" s="1058"/>
      <c r="B3528" s="1065"/>
      <c r="C3528" s="1065"/>
      <c r="D3528" s="1058"/>
      <c r="E3528" s="1058"/>
      <c r="F3528" s="1075"/>
      <c r="G3528" s="1074"/>
      <c r="H3528" s="1067"/>
      <c r="I3528" s="1059"/>
      <c r="J3528" s="1068"/>
      <c r="K3528" s="1064"/>
      <c r="L3528" s="1069"/>
      <c r="M3528" s="1069"/>
      <c r="N3528" s="1069"/>
      <c r="O3528" s="1070"/>
      <c r="P3528" s="1071"/>
      <c r="Q3528" s="1058"/>
      <c r="R3528" s="1063"/>
    </row>
    <row r="3529" spans="1:18" s="90" customFormat="1">
      <c r="A3529" s="1058"/>
      <c r="B3529" s="1065"/>
      <c r="C3529" s="1065"/>
      <c r="D3529" s="1058"/>
      <c r="E3529" s="1058"/>
      <c r="F3529" s="1075"/>
      <c r="G3529" s="1074"/>
      <c r="H3529" s="1067"/>
      <c r="I3529" s="1059"/>
      <c r="J3529" s="1068"/>
      <c r="K3529" s="1064"/>
      <c r="L3529" s="1069"/>
      <c r="M3529" s="1069"/>
      <c r="N3529" s="1069"/>
      <c r="O3529" s="1070"/>
      <c r="P3529" s="1071"/>
      <c r="Q3529" s="1058"/>
      <c r="R3529" s="1063"/>
    </row>
    <row r="3530" spans="1:18" s="90" customFormat="1">
      <c r="A3530" s="1058"/>
      <c r="B3530" s="1065"/>
      <c r="C3530" s="1065"/>
      <c r="D3530" s="1058"/>
      <c r="E3530" s="1058"/>
      <c r="F3530" s="1075"/>
      <c r="G3530" s="1074"/>
      <c r="H3530" s="1067"/>
      <c r="I3530" s="1059"/>
      <c r="J3530" s="1068"/>
      <c r="K3530" s="1064"/>
      <c r="L3530" s="1069"/>
      <c r="M3530" s="1069"/>
      <c r="N3530" s="1069"/>
      <c r="O3530" s="1070"/>
      <c r="P3530" s="1071"/>
      <c r="Q3530" s="1058"/>
      <c r="R3530" s="1063"/>
    </row>
    <row r="3531" spans="1:18" s="90" customFormat="1">
      <c r="A3531" s="1058"/>
      <c r="B3531" s="1065"/>
      <c r="C3531" s="1065"/>
      <c r="D3531" s="1058"/>
      <c r="E3531" s="1058"/>
      <c r="F3531" s="1075"/>
      <c r="G3531" s="1074"/>
      <c r="H3531" s="1067"/>
      <c r="I3531" s="1059"/>
      <c r="J3531" s="1068"/>
      <c r="K3531" s="1064"/>
      <c r="L3531" s="1069"/>
      <c r="M3531" s="1069"/>
      <c r="N3531" s="1069"/>
      <c r="O3531" s="1070"/>
      <c r="P3531" s="1071"/>
      <c r="Q3531" s="1058"/>
      <c r="R3531" s="1063"/>
    </row>
    <row r="3532" spans="1:18" s="90" customFormat="1">
      <c r="A3532" s="1058"/>
      <c r="B3532" s="1065"/>
      <c r="C3532" s="1065"/>
      <c r="D3532" s="1058"/>
      <c r="E3532" s="1058"/>
      <c r="F3532" s="1075"/>
      <c r="G3532" s="1074"/>
      <c r="H3532" s="1067"/>
      <c r="I3532" s="1059"/>
      <c r="J3532" s="1068"/>
      <c r="K3532" s="1064"/>
      <c r="L3532" s="1069"/>
      <c r="M3532" s="1069"/>
      <c r="N3532" s="1069"/>
      <c r="O3532" s="1070"/>
      <c r="P3532" s="1071"/>
      <c r="Q3532" s="1058"/>
      <c r="R3532" s="1063"/>
    </row>
    <row r="3533" spans="1:18">
      <c r="A3533" s="1058" t="s">
        <v>669</v>
      </c>
      <c r="B3533" s="1065">
        <f ca="1">+K218</f>
        <v>34761.6103</v>
      </c>
      <c r="C3533" s="1076">
        <f>+I218</f>
        <v>25920</v>
      </c>
      <c r="D3533" s="1074"/>
      <c r="E3533" s="1058">
        <f>+E3452+1</f>
        <v>17</v>
      </c>
      <c r="F3533" s="1075">
        <f ca="1">IF(TODAY()&lt;[1]D!V13,[1]D!W13,[1]D!Y13)</f>
        <v>0</v>
      </c>
      <c r="G3533" s="1074" t="s">
        <v>662</v>
      </c>
      <c r="H3533" s="1067">
        <f>+H3452</f>
        <v>44181</v>
      </c>
      <c r="I3533" s="1059">
        <f>+I3452</f>
        <v>450</v>
      </c>
      <c r="J3533" s="1068">
        <f t="shared" si="90"/>
        <v>44631</v>
      </c>
      <c r="K3533" s="1064">
        <f t="shared" ca="1" si="91"/>
        <v>34761.6103</v>
      </c>
      <c r="L3533" s="1069">
        <f>+L3452</f>
        <v>5</v>
      </c>
      <c r="M3533" s="1069">
        <f ca="1">+K3533*L3533/100</f>
        <v>1738.0805150000001</v>
      </c>
      <c r="N3533" s="1069">
        <f ca="1">+K3533+M3533</f>
        <v>36499.690815000002</v>
      </c>
      <c r="O3533" s="1070">
        <f ca="1">IF(+TODAY()&gt;=J3533,0,+M3533)</f>
        <v>1738.0805150000001</v>
      </c>
      <c r="P3533" s="1071">
        <f ca="1">ROUND(O3533,0)</f>
        <v>1738</v>
      </c>
      <c r="Q3533" s="1058"/>
      <c r="R3533" s="1063"/>
    </row>
    <row r="3534" spans="1:18" s="90" customFormat="1">
      <c r="A3534" s="1058"/>
      <c r="B3534" s="1065"/>
      <c r="C3534" s="1076"/>
      <c r="D3534" s="1074"/>
      <c r="E3534" s="1058"/>
      <c r="F3534" s="1075"/>
      <c r="G3534" s="1074"/>
      <c r="H3534" s="1067"/>
      <c r="I3534" s="1059"/>
      <c r="J3534" s="1068"/>
      <c r="K3534" s="1064"/>
      <c r="L3534" s="1069"/>
      <c r="M3534" s="1069"/>
      <c r="N3534" s="1069"/>
      <c r="O3534" s="1070"/>
      <c r="P3534" s="1071"/>
      <c r="Q3534" s="1058"/>
      <c r="R3534" s="1063"/>
    </row>
    <row r="3535" spans="1:18" s="90" customFormat="1">
      <c r="A3535" s="1058"/>
      <c r="B3535" s="1065"/>
      <c r="C3535" s="1076"/>
      <c r="D3535" s="1074"/>
      <c r="E3535" s="1058"/>
      <c r="F3535" s="1075"/>
      <c r="G3535" s="1074"/>
      <c r="H3535" s="1067"/>
      <c r="I3535" s="1059"/>
      <c r="J3535" s="1068"/>
      <c r="K3535" s="1064"/>
      <c r="L3535" s="1069"/>
      <c r="M3535" s="1069"/>
      <c r="N3535" s="1069"/>
      <c r="O3535" s="1070"/>
      <c r="P3535" s="1071"/>
      <c r="Q3535" s="1058"/>
      <c r="R3535" s="1063"/>
    </row>
    <row r="3536" spans="1:18" s="90" customFormat="1">
      <c r="A3536" s="1058"/>
      <c r="B3536" s="1065"/>
      <c r="C3536" s="1076"/>
      <c r="D3536" s="1074"/>
      <c r="E3536" s="1058"/>
      <c r="F3536" s="1075"/>
      <c r="G3536" s="1074"/>
      <c r="H3536" s="1067"/>
      <c r="I3536" s="1059"/>
      <c r="J3536" s="1068"/>
      <c r="K3536" s="1064"/>
      <c r="L3536" s="1069"/>
      <c r="M3536" s="1069"/>
      <c r="N3536" s="1069"/>
      <c r="O3536" s="1070"/>
      <c r="P3536" s="1071"/>
      <c r="Q3536" s="1058"/>
      <c r="R3536" s="1063"/>
    </row>
    <row r="3537" spans="1:18" s="90" customFormat="1">
      <c r="A3537" s="1058"/>
      <c r="B3537" s="1065"/>
      <c r="C3537" s="1076"/>
      <c r="D3537" s="1074"/>
      <c r="E3537" s="1058"/>
      <c r="F3537" s="1075"/>
      <c r="G3537" s="1074"/>
      <c r="H3537" s="1067"/>
      <c r="I3537" s="1059"/>
      <c r="J3537" s="1068"/>
      <c r="K3537" s="1064"/>
      <c r="L3537" s="1069"/>
      <c r="M3537" s="1069"/>
      <c r="N3537" s="1069"/>
      <c r="O3537" s="1070"/>
      <c r="P3537" s="1071"/>
      <c r="Q3537" s="1058"/>
      <c r="R3537" s="1063"/>
    </row>
    <row r="3538" spans="1:18" s="90" customFormat="1">
      <c r="A3538" s="1058"/>
      <c r="B3538" s="1065"/>
      <c r="C3538" s="1076"/>
      <c r="D3538" s="1074"/>
      <c r="E3538" s="1058"/>
      <c r="F3538" s="1075"/>
      <c r="G3538" s="1074"/>
      <c r="H3538" s="1067"/>
      <c r="I3538" s="1059"/>
      <c r="J3538" s="1068"/>
      <c r="K3538" s="1064"/>
      <c r="L3538" s="1069"/>
      <c r="M3538" s="1069"/>
      <c r="N3538" s="1069"/>
      <c r="O3538" s="1070"/>
      <c r="P3538" s="1071"/>
      <c r="Q3538" s="1058"/>
      <c r="R3538" s="1063"/>
    </row>
    <row r="3539" spans="1:18" s="90" customFormat="1">
      <c r="A3539" s="1058"/>
      <c r="B3539" s="1065"/>
      <c r="C3539" s="1076"/>
      <c r="D3539" s="1074"/>
      <c r="E3539" s="1058"/>
      <c r="F3539" s="1075"/>
      <c r="G3539" s="1074"/>
      <c r="H3539" s="1067"/>
      <c r="I3539" s="1059"/>
      <c r="J3539" s="1068"/>
      <c r="K3539" s="1064"/>
      <c r="L3539" s="1069"/>
      <c r="M3539" s="1069"/>
      <c r="N3539" s="1069"/>
      <c r="O3539" s="1070"/>
      <c r="P3539" s="1071"/>
      <c r="Q3539" s="1058"/>
      <c r="R3539" s="1063"/>
    </row>
    <row r="3540" spans="1:18" s="90" customFormat="1">
      <c r="A3540" s="1058"/>
      <c r="B3540" s="1065"/>
      <c r="C3540" s="1076"/>
      <c r="D3540" s="1074"/>
      <c r="E3540" s="1058"/>
      <c r="F3540" s="1075"/>
      <c r="G3540" s="1074"/>
      <c r="H3540" s="1067"/>
      <c r="I3540" s="1059"/>
      <c r="J3540" s="1068"/>
      <c r="K3540" s="1064"/>
      <c r="L3540" s="1069"/>
      <c r="M3540" s="1069"/>
      <c r="N3540" s="1069"/>
      <c r="O3540" s="1070"/>
      <c r="P3540" s="1071"/>
      <c r="Q3540" s="1058"/>
      <c r="R3540" s="1063"/>
    </row>
    <row r="3541" spans="1:18" s="90" customFormat="1">
      <c r="A3541" s="1058"/>
      <c r="B3541" s="1065"/>
      <c r="C3541" s="1076"/>
      <c r="D3541" s="1074"/>
      <c r="E3541" s="1058"/>
      <c r="F3541" s="1075"/>
      <c r="G3541" s="1074"/>
      <c r="H3541" s="1067"/>
      <c r="I3541" s="1059"/>
      <c r="J3541" s="1068"/>
      <c r="K3541" s="1064"/>
      <c r="L3541" s="1069"/>
      <c r="M3541" s="1069"/>
      <c r="N3541" s="1069"/>
      <c r="O3541" s="1070"/>
      <c r="P3541" s="1071"/>
      <c r="Q3541" s="1058"/>
      <c r="R3541" s="1063"/>
    </row>
    <row r="3542" spans="1:18" s="90" customFormat="1">
      <c r="A3542" s="1058"/>
      <c r="B3542" s="1065"/>
      <c r="C3542" s="1076"/>
      <c r="D3542" s="1074"/>
      <c r="E3542" s="1058"/>
      <c r="F3542" s="1075"/>
      <c r="G3542" s="1074"/>
      <c r="H3542" s="1067"/>
      <c r="I3542" s="1059"/>
      <c r="J3542" s="1068"/>
      <c r="K3542" s="1064"/>
      <c r="L3542" s="1069"/>
      <c r="M3542" s="1069"/>
      <c r="N3542" s="1069"/>
      <c r="O3542" s="1070"/>
      <c r="P3542" s="1071"/>
      <c r="Q3542" s="1058"/>
      <c r="R3542" s="1063"/>
    </row>
    <row r="3543" spans="1:18" s="90" customFormat="1">
      <c r="A3543" s="1058"/>
      <c r="B3543" s="1065"/>
      <c r="C3543" s="1076"/>
      <c r="D3543" s="1074"/>
      <c r="E3543" s="1058"/>
      <c r="F3543" s="1075"/>
      <c r="G3543" s="1074"/>
      <c r="H3543" s="1067"/>
      <c r="I3543" s="1059"/>
      <c r="J3543" s="1068"/>
      <c r="K3543" s="1064"/>
      <c r="L3543" s="1069"/>
      <c r="M3543" s="1069"/>
      <c r="N3543" s="1069"/>
      <c r="O3543" s="1070"/>
      <c r="P3543" s="1071"/>
      <c r="Q3543" s="1058"/>
      <c r="R3543" s="1063"/>
    </row>
    <row r="3544" spans="1:18" s="90" customFormat="1">
      <c r="A3544" s="1058"/>
      <c r="B3544" s="1065"/>
      <c r="C3544" s="1076"/>
      <c r="D3544" s="1074"/>
      <c r="E3544" s="1058"/>
      <c r="F3544" s="1075"/>
      <c r="G3544" s="1074"/>
      <c r="H3544" s="1067"/>
      <c r="I3544" s="1059"/>
      <c r="J3544" s="1068"/>
      <c r="K3544" s="1064"/>
      <c r="L3544" s="1069"/>
      <c r="M3544" s="1069"/>
      <c r="N3544" s="1069"/>
      <c r="O3544" s="1070"/>
      <c r="P3544" s="1071"/>
      <c r="Q3544" s="1058"/>
      <c r="R3544" s="1063"/>
    </row>
    <row r="3545" spans="1:18" s="90" customFormat="1">
      <c r="A3545" s="1058"/>
      <c r="B3545" s="1065"/>
      <c r="C3545" s="1076"/>
      <c r="D3545" s="1074"/>
      <c r="E3545" s="1058"/>
      <c r="F3545" s="1075"/>
      <c r="G3545" s="1074"/>
      <c r="H3545" s="1067"/>
      <c r="I3545" s="1059"/>
      <c r="J3545" s="1068"/>
      <c r="K3545" s="1064"/>
      <c r="L3545" s="1069"/>
      <c r="M3545" s="1069"/>
      <c r="N3545" s="1069"/>
      <c r="O3545" s="1070"/>
      <c r="P3545" s="1071"/>
      <c r="Q3545" s="1058"/>
      <c r="R3545" s="1063"/>
    </row>
    <row r="3546" spans="1:18" s="90" customFormat="1">
      <c r="A3546" s="1058"/>
      <c r="B3546" s="1065"/>
      <c r="C3546" s="1076"/>
      <c r="D3546" s="1074"/>
      <c r="E3546" s="1058"/>
      <c r="F3546" s="1075"/>
      <c r="G3546" s="1074"/>
      <c r="H3546" s="1067"/>
      <c r="I3546" s="1059"/>
      <c r="J3546" s="1068"/>
      <c r="K3546" s="1064"/>
      <c r="L3546" s="1069"/>
      <c r="M3546" s="1069"/>
      <c r="N3546" s="1069"/>
      <c r="O3546" s="1070"/>
      <c r="P3546" s="1071"/>
      <c r="Q3546" s="1058"/>
      <c r="R3546" s="1063"/>
    </row>
    <row r="3547" spans="1:18" s="90" customFormat="1">
      <c r="A3547" s="1058"/>
      <c r="B3547" s="1065"/>
      <c r="C3547" s="1076"/>
      <c r="D3547" s="1074"/>
      <c r="E3547" s="1058"/>
      <c r="F3547" s="1075"/>
      <c r="G3547" s="1074"/>
      <c r="H3547" s="1067"/>
      <c r="I3547" s="1059"/>
      <c r="J3547" s="1068"/>
      <c r="K3547" s="1064"/>
      <c r="L3547" s="1069"/>
      <c r="M3547" s="1069"/>
      <c r="N3547" s="1069"/>
      <c r="O3547" s="1070"/>
      <c r="P3547" s="1071"/>
      <c r="Q3547" s="1058"/>
      <c r="R3547" s="1063"/>
    </row>
    <row r="3548" spans="1:18" s="90" customFormat="1">
      <c r="A3548" s="1058"/>
      <c r="B3548" s="1065"/>
      <c r="C3548" s="1076"/>
      <c r="D3548" s="1074"/>
      <c r="E3548" s="1058"/>
      <c r="F3548" s="1075"/>
      <c r="G3548" s="1074"/>
      <c r="H3548" s="1067"/>
      <c r="I3548" s="1059"/>
      <c r="J3548" s="1068"/>
      <c r="K3548" s="1064"/>
      <c r="L3548" s="1069"/>
      <c r="M3548" s="1069"/>
      <c r="N3548" s="1069"/>
      <c r="O3548" s="1070"/>
      <c r="P3548" s="1071"/>
      <c r="Q3548" s="1058"/>
      <c r="R3548" s="1063"/>
    </row>
    <row r="3549" spans="1:18" s="90" customFormat="1">
      <c r="A3549" s="1058"/>
      <c r="B3549" s="1065"/>
      <c r="C3549" s="1076"/>
      <c r="D3549" s="1074"/>
      <c r="E3549" s="1058"/>
      <c r="F3549" s="1075"/>
      <c r="G3549" s="1074"/>
      <c r="H3549" s="1067"/>
      <c r="I3549" s="1059"/>
      <c r="J3549" s="1068"/>
      <c r="K3549" s="1064"/>
      <c r="L3549" s="1069"/>
      <c r="M3549" s="1069"/>
      <c r="N3549" s="1069"/>
      <c r="O3549" s="1070"/>
      <c r="P3549" s="1071"/>
      <c r="Q3549" s="1058"/>
      <c r="R3549" s="1063"/>
    </row>
    <row r="3550" spans="1:18" s="90" customFormat="1">
      <c r="A3550" s="1058"/>
      <c r="B3550" s="1065"/>
      <c r="C3550" s="1076"/>
      <c r="D3550" s="1074"/>
      <c r="E3550" s="1058"/>
      <c r="F3550" s="1075"/>
      <c r="G3550" s="1074"/>
      <c r="H3550" s="1067"/>
      <c r="I3550" s="1059"/>
      <c r="J3550" s="1068"/>
      <c r="K3550" s="1064"/>
      <c r="L3550" s="1069"/>
      <c r="M3550" s="1069"/>
      <c r="N3550" s="1069"/>
      <c r="O3550" s="1070"/>
      <c r="P3550" s="1071"/>
      <c r="Q3550" s="1058"/>
      <c r="R3550" s="1063"/>
    </row>
    <row r="3551" spans="1:18" s="90" customFormat="1">
      <c r="A3551" s="1058"/>
      <c r="B3551" s="1065"/>
      <c r="C3551" s="1076"/>
      <c r="D3551" s="1074"/>
      <c r="E3551" s="1058"/>
      <c r="F3551" s="1075"/>
      <c r="G3551" s="1074"/>
      <c r="H3551" s="1067"/>
      <c r="I3551" s="1059"/>
      <c r="J3551" s="1068"/>
      <c r="K3551" s="1064"/>
      <c r="L3551" s="1069"/>
      <c r="M3551" s="1069"/>
      <c r="N3551" s="1069"/>
      <c r="O3551" s="1070"/>
      <c r="P3551" s="1071"/>
      <c r="Q3551" s="1058"/>
      <c r="R3551" s="1063"/>
    </row>
    <row r="3552" spans="1:18" s="90" customFormat="1">
      <c r="A3552" s="1058"/>
      <c r="B3552" s="1065"/>
      <c r="C3552" s="1076"/>
      <c r="D3552" s="1074"/>
      <c r="E3552" s="1058"/>
      <c r="F3552" s="1075"/>
      <c r="G3552" s="1074"/>
      <c r="H3552" s="1067"/>
      <c r="I3552" s="1059"/>
      <c r="J3552" s="1068"/>
      <c r="K3552" s="1064"/>
      <c r="L3552" s="1069"/>
      <c r="M3552" s="1069"/>
      <c r="N3552" s="1069"/>
      <c r="O3552" s="1070"/>
      <c r="P3552" s="1071"/>
      <c r="Q3552" s="1058"/>
      <c r="R3552" s="1063"/>
    </row>
    <row r="3553" spans="1:18" s="90" customFormat="1">
      <c r="A3553" s="1058"/>
      <c r="B3553" s="1065"/>
      <c r="C3553" s="1076"/>
      <c r="D3553" s="1074"/>
      <c r="E3553" s="1058"/>
      <c r="F3553" s="1075"/>
      <c r="G3553" s="1074"/>
      <c r="H3553" s="1067"/>
      <c r="I3553" s="1059"/>
      <c r="J3553" s="1068"/>
      <c r="K3553" s="1064"/>
      <c r="L3553" s="1069"/>
      <c r="M3553" s="1069"/>
      <c r="N3553" s="1069"/>
      <c r="O3553" s="1070"/>
      <c r="P3553" s="1071"/>
      <c r="Q3553" s="1058"/>
      <c r="R3553" s="1063"/>
    </row>
    <row r="3554" spans="1:18" s="90" customFormat="1">
      <c r="A3554" s="1058"/>
      <c r="B3554" s="1065"/>
      <c r="C3554" s="1076"/>
      <c r="D3554" s="1074"/>
      <c r="E3554" s="1058"/>
      <c r="F3554" s="1075"/>
      <c r="G3554" s="1074"/>
      <c r="H3554" s="1067"/>
      <c r="I3554" s="1059"/>
      <c r="J3554" s="1068"/>
      <c r="K3554" s="1064"/>
      <c r="L3554" s="1069"/>
      <c r="M3554" s="1069"/>
      <c r="N3554" s="1069"/>
      <c r="O3554" s="1070"/>
      <c r="P3554" s="1071"/>
      <c r="Q3554" s="1058"/>
      <c r="R3554" s="1063"/>
    </row>
    <row r="3555" spans="1:18" s="90" customFormat="1">
      <c r="A3555" s="1058"/>
      <c r="B3555" s="1065"/>
      <c r="C3555" s="1076"/>
      <c r="D3555" s="1074"/>
      <c r="E3555" s="1058"/>
      <c r="F3555" s="1075"/>
      <c r="G3555" s="1074"/>
      <c r="H3555" s="1067"/>
      <c r="I3555" s="1059"/>
      <c r="J3555" s="1068"/>
      <c r="K3555" s="1064"/>
      <c r="L3555" s="1069"/>
      <c r="M3555" s="1069"/>
      <c r="N3555" s="1069"/>
      <c r="O3555" s="1070"/>
      <c r="P3555" s="1071"/>
      <c r="Q3555" s="1058"/>
      <c r="R3555" s="1063"/>
    </row>
    <row r="3556" spans="1:18" s="90" customFormat="1">
      <c r="A3556" s="1058"/>
      <c r="B3556" s="1065"/>
      <c r="C3556" s="1076"/>
      <c r="D3556" s="1074"/>
      <c r="E3556" s="1058"/>
      <c r="F3556" s="1075"/>
      <c r="G3556" s="1074"/>
      <c r="H3556" s="1067"/>
      <c r="I3556" s="1059"/>
      <c r="J3556" s="1068"/>
      <c r="K3556" s="1064"/>
      <c r="L3556" s="1069"/>
      <c r="M3556" s="1069"/>
      <c r="N3556" s="1069"/>
      <c r="O3556" s="1070"/>
      <c r="P3556" s="1071"/>
      <c r="Q3556" s="1058"/>
      <c r="R3556" s="1063"/>
    </row>
    <row r="3557" spans="1:18" s="90" customFormat="1">
      <c r="A3557" s="1058"/>
      <c r="B3557" s="1065"/>
      <c r="C3557" s="1076"/>
      <c r="D3557" s="1074"/>
      <c r="E3557" s="1058"/>
      <c r="F3557" s="1075"/>
      <c r="G3557" s="1074"/>
      <c r="H3557" s="1067"/>
      <c r="I3557" s="1059"/>
      <c r="J3557" s="1068"/>
      <c r="K3557" s="1064"/>
      <c r="L3557" s="1069"/>
      <c r="M3557" s="1069"/>
      <c r="N3557" s="1069"/>
      <c r="O3557" s="1070"/>
      <c r="P3557" s="1071"/>
      <c r="Q3557" s="1058"/>
      <c r="R3557" s="1063"/>
    </row>
    <row r="3558" spans="1:18" s="90" customFormat="1">
      <c r="A3558" s="1058"/>
      <c r="B3558" s="1065"/>
      <c r="C3558" s="1076"/>
      <c r="D3558" s="1074"/>
      <c r="E3558" s="1058"/>
      <c r="F3558" s="1075"/>
      <c r="G3558" s="1074"/>
      <c r="H3558" s="1067"/>
      <c r="I3558" s="1059"/>
      <c r="J3558" s="1068"/>
      <c r="K3558" s="1064"/>
      <c r="L3558" s="1069"/>
      <c r="M3558" s="1069"/>
      <c r="N3558" s="1069"/>
      <c r="O3558" s="1070"/>
      <c r="P3558" s="1071"/>
      <c r="Q3558" s="1058"/>
      <c r="R3558" s="1063"/>
    </row>
    <row r="3559" spans="1:18" s="90" customFormat="1">
      <c r="A3559" s="1058"/>
      <c r="B3559" s="1065"/>
      <c r="C3559" s="1076"/>
      <c r="D3559" s="1074"/>
      <c r="E3559" s="1058"/>
      <c r="F3559" s="1075"/>
      <c r="G3559" s="1074"/>
      <c r="H3559" s="1067"/>
      <c r="I3559" s="1059"/>
      <c r="J3559" s="1068"/>
      <c r="K3559" s="1064"/>
      <c r="L3559" s="1069"/>
      <c r="M3559" s="1069"/>
      <c r="N3559" s="1069"/>
      <c r="O3559" s="1070"/>
      <c r="P3559" s="1071"/>
      <c r="Q3559" s="1058"/>
      <c r="R3559" s="1063"/>
    </row>
    <row r="3560" spans="1:18" s="90" customFormat="1">
      <c r="A3560" s="1058"/>
      <c r="B3560" s="1065"/>
      <c r="C3560" s="1076"/>
      <c r="D3560" s="1074"/>
      <c r="E3560" s="1058"/>
      <c r="F3560" s="1075"/>
      <c r="G3560" s="1074"/>
      <c r="H3560" s="1067"/>
      <c r="I3560" s="1059"/>
      <c r="J3560" s="1068"/>
      <c r="K3560" s="1064"/>
      <c r="L3560" s="1069"/>
      <c r="M3560" s="1069"/>
      <c r="N3560" s="1069"/>
      <c r="O3560" s="1070"/>
      <c r="P3560" s="1071"/>
      <c r="Q3560" s="1058"/>
      <c r="R3560" s="1063"/>
    </row>
    <row r="3561" spans="1:18" s="90" customFormat="1">
      <c r="A3561" s="1058"/>
      <c r="B3561" s="1065"/>
      <c r="C3561" s="1076"/>
      <c r="D3561" s="1074"/>
      <c r="E3561" s="1058"/>
      <c r="F3561" s="1075"/>
      <c r="G3561" s="1074"/>
      <c r="H3561" s="1067"/>
      <c r="I3561" s="1059"/>
      <c r="J3561" s="1068"/>
      <c r="K3561" s="1064"/>
      <c r="L3561" s="1069"/>
      <c r="M3561" s="1069"/>
      <c r="N3561" s="1069"/>
      <c r="O3561" s="1070"/>
      <c r="P3561" s="1071"/>
      <c r="Q3561" s="1058"/>
      <c r="R3561" s="1063"/>
    </row>
    <row r="3562" spans="1:18" s="90" customFormat="1">
      <c r="A3562" s="1058"/>
      <c r="B3562" s="1065"/>
      <c r="C3562" s="1076"/>
      <c r="D3562" s="1074"/>
      <c r="E3562" s="1058"/>
      <c r="F3562" s="1075"/>
      <c r="G3562" s="1074"/>
      <c r="H3562" s="1067"/>
      <c r="I3562" s="1059"/>
      <c r="J3562" s="1068"/>
      <c r="K3562" s="1064"/>
      <c r="L3562" s="1069"/>
      <c r="M3562" s="1069"/>
      <c r="N3562" s="1069"/>
      <c r="O3562" s="1070"/>
      <c r="P3562" s="1071"/>
      <c r="Q3562" s="1058"/>
      <c r="R3562" s="1063"/>
    </row>
    <row r="3563" spans="1:18" s="90" customFormat="1">
      <c r="A3563" s="1058"/>
      <c r="B3563" s="1065"/>
      <c r="C3563" s="1076"/>
      <c r="D3563" s="1074"/>
      <c r="E3563" s="1058"/>
      <c r="F3563" s="1075"/>
      <c r="G3563" s="1074"/>
      <c r="H3563" s="1067"/>
      <c r="I3563" s="1059"/>
      <c r="J3563" s="1068"/>
      <c r="K3563" s="1064"/>
      <c r="L3563" s="1069"/>
      <c r="M3563" s="1069"/>
      <c r="N3563" s="1069"/>
      <c r="O3563" s="1070"/>
      <c r="P3563" s="1071"/>
      <c r="Q3563" s="1058"/>
      <c r="R3563" s="1063"/>
    </row>
    <row r="3564" spans="1:18" s="90" customFormat="1">
      <c r="A3564" s="1058"/>
      <c r="B3564" s="1065"/>
      <c r="C3564" s="1076"/>
      <c r="D3564" s="1074"/>
      <c r="E3564" s="1058"/>
      <c r="F3564" s="1075"/>
      <c r="G3564" s="1074"/>
      <c r="H3564" s="1067"/>
      <c r="I3564" s="1059"/>
      <c r="J3564" s="1068"/>
      <c r="K3564" s="1064"/>
      <c r="L3564" s="1069"/>
      <c r="M3564" s="1069"/>
      <c r="N3564" s="1069"/>
      <c r="O3564" s="1070"/>
      <c r="P3564" s="1071"/>
      <c r="Q3564" s="1058"/>
      <c r="R3564" s="1063"/>
    </row>
    <row r="3565" spans="1:18" s="90" customFormat="1">
      <c r="A3565" s="1058"/>
      <c r="B3565" s="1065"/>
      <c r="C3565" s="1076"/>
      <c r="D3565" s="1074"/>
      <c r="E3565" s="1058"/>
      <c r="F3565" s="1075"/>
      <c r="G3565" s="1074"/>
      <c r="H3565" s="1067"/>
      <c r="I3565" s="1059"/>
      <c r="J3565" s="1068"/>
      <c r="K3565" s="1064"/>
      <c r="L3565" s="1069"/>
      <c r="M3565" s="1069"/>
      <c r="N3565" s="1069"/>
      <c r="O3565" s="1070"/>
      <c r="P3565" s="1071"/>
      <c r="Q3565" s="1058"/>
      <c r="R3565" s="1063"/>
    </row>
    <row r="3566" spans="1:18" s="90" customFormat="1">
      <c r="A3566" s="1058"/>
      <c r="B3566" s="1065"/>
      <c r="C3566" s="1076"/>
      <c r="D3566" s="1074"/>
      <c r="E3566" s="1058"/>
      <c r="F3566" s="1075"/>
      <c r="G3566" s="1074"/>
      <c r="H3566" s="1067"/>
      <c r="I3566" s="1059"/>
      <c r="J3566" s="1068"/>
      <c r="K3566" s="1064"/>
      <c r="L3566" s="1069"/>
      <c r="M3566" s="1069"/>
      <c r="N3566" s="1069"/>
      <c r="O3566" s="1070"/>
      <c r="P3566" s="1071"/>
      <c r="Q3566" s="1058"/>
      <c r="R3566" s="1063"/>
    </row>
    <row r="3567" spans="1:18" s="90" customFormat="1">
      <c r="A3567" s="1058"/>
      <c r="B3567" s="1065"/>
      <c r="C3567" s="1076"/>
      <c r="D3567" s="1074"/>
      <c r="E3567" s="1058"/>
      <c r="F3567" s="1075"/>
      <c r="G3567" s="1074"/>
      <c r="H3567" s="1067"/>
      <c r="I3567" s="1059"/>
      <c r="J3567" s="1068"/>
      <c r="K3567" s="1064"/>
      <c r="L3567" s="1069"/>
      <c r="M3567" s="1069"/>
      <c r="N3567" s="1069"/>
      <c r="O3567" s="1070"/>
      <c r="P3567" s="1071"/>
      <c r="Q3567" s="1058"/>
      <c r="R3567" s="1063"/>
    </row>
    <row r="3568" spans="1:18" s="90" customFormat="1">
      <c r="A3568" s="1058"/>
      <c r="B3568" s="1065"/>
      <c r="C3568" s="1076"/>
      <c r="D3568" s="1074"/>
      <c r="E3568" s="1058"/>
      <c r="F3568" s="1075"/>
      <c r="G3568" s="1074"/>
      <c r="H3568" s="1067"/>
      <c r="I3568" s="1059"/>
      <c r="J3568" s="1068"/>
      <c r="K3568" s="1064"/>
      <c r="L3568" s="1069"/>
      <c r="M3568" s="1069"/>
      <c r="N3568" s="1069"/>
      <c r="O3568" s="1070"/>
      <c r="P3568" s="1071"/>
      <c r="Q3568" s="1058"/>
      <c r="R3568" s="1063"/>
    </row>
    <row r="3569" spans="1:18" s="90" customFormat="1">
      <c r="A3569" s="1058"/>
      <c r="B3569" s="1065"/>
      <c r="C3569" s="1076"/>
      <c r="D3569" s="1074"/>
      <c r="E3569" s="1058"/>
      <c r="F3569" s="1075"/>
      <c r="G3569" s="1074"/>
      <c r="H3569" s="1067"/>
      <c r="I3569" s="1059"/>
      <c r="J3569" s="1068"/>
      <c r="K3569" s="1064"/>
      <c r="L3569" s="1069"/>
      <c r="M3569" s="1069"/>
      <c r="N3569" s="1069"/>
      <c r="O3569" s="1070"/>
      <c r="P3569" s="1071"/>
      <c r="Q3569" s="1058"/>
      <c r="R3569" s="1063"/>
    </row>
    <row r="3570" spans="1:18" s="90" customFormat="1">
      <c r="A3570" s="1058"/>
      <c r="B3570" s="1065"/>
      <c r="C3570" s="1076"/>
      <c r="D3570" s="1074"/>
      <c r="E3570" s="1058"/>
      <c r="F3570" s="1075"/>
      <c r="G3570" s="1074"/>
      <c r="H3570" s="1067"/>
      <c r="I3570" s="1059"/>
      <c r="J3570" s="1068"/>
      <c r="K3570" s="1064"/>
      <c r="L3570" s="1069"/>
      <c r="M3570" s="1069"/>
      <c r="N3570" s="1069"/>
      <c r="O3570" s="1070"/>
      <c r="P3570" s="1071"/>
      <c r="Q3570" s="1058"/>
      <c r="R3570" s="1063"/>
    </row>
    <row r="3571" spans="1:18" s="90" customFormat="1">
      <c r="A3571" s="1058"/>
      <c r="B3571" s="1065"/>
      <c r="C3571" s="1076"/>
      <c r="D3571" s="1074"/>
      <c r="E3571" s="1058"/>
      <c r="F3571" s="1075"/>
      <c r="G3571" s="1074"/>
      <c r="H3571" s="1067"/>
      <c r="I3571" s="1059"/>
      <c r="J3571" s="1068"/>
      <c r="K3571" s="1064"/>
      <c r="L3571" s="1069"/>
      <c r="M3571" s="1069"/>
      <c r="N3571" s="1069"/>
      <c r="O3571" s="1070"/>
      <c r="P3571" s="1071"/>
      <c r="Q3571" s="1058"/>
      <c r="R3571" s="1063"/>
    </row>
    <row r="3572" spans="1:18" s="90" customFormat="1">
      <c r="A3572" s="1058"/>
      <c r="B3572" s="1065"/>
      <c r="C3572" s="1076"/>
      <c r="D3572" s="1074"/>
      <c r="E3572" s="1058"/>
      <c r="F3572" s="1075"/>
      <c r="G3572" s="1074"/>
      <c r="H3572" s="1067"/>
      <c r="I3572" s="1059"/>
      <c r="J3572" s="1068"/>
      <c r="K3572" s="1064"/>
      <c r="L3572" s="1069"/>
      <c r="M3572" s="1069"/>
      <c r="N3572" s="1069"/>
      <c r="O3572" s="1070"/>
      <c r="P3572" s="1071"/>
      <c r="Q3572" s="1058"/>
      <c r="R3572" s="1063"/>
    </row>
    <row r="3573" spans="1:18" s="90" customFormat="1">
      <c r="A3573" s="1058"/>
      <c r="B3573" s="1065"/>
      <c r="C3573" s="1076"/>
      <c r="D3573" s="1074"/>
      <c r="E3573" s="1058"/>
      <c r="F3573" s="1075"/>
      <c r="G3573" s="1074"/>
      <c r="H3573" s="1067"/>
      <c r="I3573" s="1059"/>
      <c r="J3573" s="1068"/>
      <c r="K3573" s="1064"/>
      <c r="L3573" s="1069"/>
      <c r="M3573" s="1069"/>
      <c r="N3573" s="1069"/>
      <c r="O3573" s="1070"/>
      <c r="P3573" s="1071"/>
      <c r="Q3573" s="1058"/>
      <c r="R3573" s="1063"/>
    </row>
    <row r="3574" spans="1:18" s="90" customFormat="1">
      <c r="A3574" s="1058"/>
      <c r="B3574" s="1065"/>
      <c r="C3574" s="1076"/>
      <c r="D3574" s="1074"/>
      <c r="E3574" s="1058"/>
      <c r="F3574" s="1075"/>
      <c r="G3574" s="1074"/>
      <c r="H3574" s="1067"/>
      <c r="I3574" s="1059"/>
      <c r="J3574" s="1068"/>
      <c r="K3574" s="1064"/>
      <c r="L3574" s="1069"/>
      <c r="M3574" s="1069"/>
      <c r="N3574" s="1069"/>
      <c r="O3574" s="1070"/>
      <c r="P3574" s="1071"/>
      <c r="Q3574" s="1058"/>
      <c r="R3574" s="1063"/>
    </row>
    <row r="3575" spans="1:18" s="90" customFormat="1">
      <c r="A3575" s="1058"/>
      <c r="B3575" s="1065"/>
      <c r="C3575" s="1076"/>
      <c r="D3575" s="1074"/>
      <c r="E3575" s="1058"/>
      <c r="F3575" s="1075"/>
      <c r="G3575" s="1074"/>
      <c r="H3575" s="1067"/>
      <c r="I3575" s="1059"/>
      <c r="J3575" s="1068"/>
      <c r="K3575" s="1064"/>
      <c r="L3575" s="1069"/>
      <c r="M3575" s="1069"/>
      <c r="N3575" s="1069"/>
      <c r="O3575" s="1070"/>
      <c r="P3575" s="1071"/>
      <c r="Q3575" s="1058"/>
      <c r="R3575" s="1063"/>
    </row>
    <row r="3576" spans="1:18" s="90" customFormat="1">
      <c r="A3576" s="1058"/>
      <c r="B3576" s="1065"/>
      <c r="C3576" s="1076"/>
      <c r="D3576" s="1074"/>
      <c r="E3576" s="1058"/>
      <c r="F3576" s="1075"/>
      <c r="G3576" s="1074"/>
      <c r="H3576" s="1067"/>
      <c r="I3576" s="1059"/>
      <c r="J3576" s="1068"/>
      <c r="K3576" s="1064"/>
      <c r="L3576" s="1069"/>
      <c r="M3576" s="1069"/>
      <c r="N3576" s="1069"/>
      <c r="O3576" s="1070"/>
      <c r="P3576" s="1071"/>
      <c r="Q3576" s="1058"/>
      <c r="R3576" s="1063"/>
    </row>
    <row r="3577" spans="1:18" s="90" customFormat="1">
      <c r="A3577" s="1058"/>
      <c r="B3577" s="1065"/>
      <c r="C3577" s="1076"/>
      <c r="D3577" s="1074"/>
      <c r="E3577" s="1058"/>
      <c r="F3577" s="1075"/>
      <c r="G3577" s="1074"/>
      <c r="H3577" s="1067"/>
      <c r="I3577" s="1059"/>
      <c r="J3577" s="1068"/>
      <c r="K3577" s="1064"/>
      <c r="L3577" s="1069"/>
      <c r="M3577" s="1069"/>
      <c r="N3577" s="1069"/>
      <c r="O3577" s="1070"/>
      <c r="P3577" s="1071"/>
      <c r="Q3577" s="1058"/>
      <c r="R3577" s="1063"/>
    </row>
    <row r="3578" spans="1:18" s="90" customFormat="1">
      <c r="A3578" s="1058"/>
      <c r="B3578" s="1065"/>
      <c r="C3578" s="1076"/>
      <c r="D3578" s="1074"/>
      <c r="E3578" s="1058"/>
      <c r="F3578" s="1075"/>
      <c r="G3578" s="1074"/>
      <c r="H3578" s="1067"/>
      <c r="I3578" s="1059"/>
      <c r="J3578" s="1068"/>
      <c r="K3578" s="1064"/>
      <c r="L3578" s="1069"/>
      <c r="M3578" s="1069"/>
      <c r="N3578" s="1069"/>
      <c r="O3578" s="1070"/>
      <c r="P3578" s="1071"/>
      <c r="Q3578" s="1058"/>
      <c r="R3578" s="1063"/>
    </row>
    <row r="3579" spans="1:18" s="90" customFormat="1">
      <c r="A3579" s="1058"/>
      <c r="B3579" s="1065"/>
      <c r="C3579" s="1076"/>
      <c r="D3579" s="1074"/>
      <c r="E3579" s="1058"/>
      <c r="F3579" s="1075"/>
      <c r="G3579" s="1074"/>
      <c r="H3579" s="1067"/>
      <c r="I3579" s="1059"/>
      <c r="J3579" s="1068"/>
      <c r="K3579" s="1064"/>
      <c r="L3579" s="1069"/>
      <c r="M3579" s="1069"/>
      <c r="N3579" s="1069"/>
      <c r="O3579" s="1070"/>
      <c r="P3579" s="1071"/>
      <c r="Q3579" s="1058"/>
      <c r="R3579" s="1063"/>
    </row>
    <row r="3580" spans="1:18" s="90" customFormat="1">
      <c r="A3580" s="1058"/>
      <c r="B3580" s="1065"/>
      <c r="C3580" s="1076"/>
      <c r="D3580" s="1074"/>
      <c r="E3580" s="1058"/>
      <c r="F3580" s="1075"/>
      <c r="G3580" s="1074"/>
      <c r="H3580" s="1067"/>
      <c r="I3580" s="1059"/>
      <c r="J3580" s="1068"/>
      <c r="K3580" s="1064"/>
      <c r="L3580" s="1069"/>
      <c r="M3580" s="1069"/>
      <c r="N3580" s="1069"/>
      <c r="O3580" s="1070"/>
      <c r="P3580" s="1071"/>
      <c r="Q3580" s="1058"/>
      <c r="R3580" s="1063"/>
    </row>
    <row r="3581" spans="1:18" s="90" customFormat="1">
      <c r="A3581" s="1058"/>
      <c r="B3581" s="1065"/>
      <c r="C3581" s="1076"/>
      <c r="D3581" s="1074"/>
      <c r="E3581" s="1058"/>
      <c r="F3581" s="1075"/>
      <c r="G3581" s="1074"/>
      <c r="H3581" s="1067"/>
      <c r="I3581" s="1059"/>
      <c r="J3581" s="1068"/>
      <c r="K3581" s="1064"/>
      <c r="L3581" s="1069"/>
      <c r="M3581" s="1069"/>
      <c r="N3581" s="1069"/>
      <c r="O3581" s="1070"/>
      <c r="P3581" s="1071"/>
      <c r="Q3581" s="1058"/>
      <c r="R3581" s="1063"/>
    </row>
    <row r="3582" spans="1:18" s="90" customFormat="1">
      <c r="A3582" s="1058"/>
      <c r="B3582" s="1065"/>
      <c r="C3582" s="1076"/>
      <c r="D3582" s="1074"/>
      <c r="E3582" s="1058"/>
      <c r="F3582" s="1075"/>
      <c r="G3582" s="1074"/>
      <c r="H3582" s="1067"/>
      <c r="I3582" s="1059"/>
      <c r="J3582" s="1068"/>
      <c r="K3582" s="1064"/>
      <c r="L3582" s="1069"/>
      <c r="M3582" s="1069"/>
      <c r="N3582" s="1069"/>
      <c r="O3582" s="1070"/>
      <c r="P3582" s="1071"/>
      <c r="Q3582" s="1058"/>
      <c r="R3582" s="1063"/>
    </row>
    <row r="3583" spans="1:18" s="90" customFormat="1">
      <c r="A3583" s="1058"/>
      <c r="B3583" s="1065"/>
      <c r="C3583" s="1076"/>
      <c r="D3583" s="1074"/>
      <c r="E3583" s="1058"/>
      <c r="F3583" s="1075"/>
      <c r="G3583" s="1074"/>
      <c r="H3583" s="1067"/>
      <c r="I3583" s="1059"/>
      <c r="J3583" s="1068"/>
      <c r="K3583" s="1064"/>
      <c r="L3583" s="1069"/>
      <c r="M3583" s="1069"/>
      <c r="N3583" s="1069"/>
      <c r="O3583" s="1070"/>
      <c r="P3583" s="1071"/>
      <c r="Q3583" s="1058"/>
      <c r="R3583" s="1063"/>
    </row>
    <row r="3584" spans="1:18" s="90" customFormat="1">
      <c r="A3584" s="1058"/>
      <c r="B3584" s="1065"/>
      <c r="C3584" s="1076"/>
      <c r="D3584" s="1074"/>
      <c r="E3584" s="1058"/>
      <c r="F3584" s="1075"/>
      <c r="G3584" s="1074"/>
      <c r="H3584" s="1067"/>
      <c r="I3584" s="1059"/>
      <c r="J3584" s="1068"/>
      <c r="K3584" s="1064"/>
      <c r="L3584" s="1069"/>
      <c r="M3584" s="1069"/>
      <c r="N3584" s="1069"/>
      <c r="O3584" s="1070"/>
      <c r="P3584" s="1071"/>
      <c r="Q3584" s="1058"/>
      <c r="R3584" s="1063"/>
    </row>
    <row r="3585" spans="1:18" s="90" customFormat="1">
      <c r="A3585" s="1058"/>
      <c r="B3585" s="1065"/>
      <c r="C3585" s="1076"/>
      <c r="D3585" s="1074"/>
      <c r="E3585" s="1058"/>
      <c r="F3585" s="1075"/>
      <c r="G3585" s="1074"/>
      <c r="H3585" s="1067"/>
      <c r="I3585" s="1059"/>
      <c r="J3585" s="1068"/>
      <c r="K3585" s="1064"/>
      <c r="L3585" s="1069"/>
      <c r="M3585" s="1069"/>
      <c r="N3585" s="1069"/>
      <c r="O3585" s="1070"/>
      <c r="P3585" s="1071"/>
      <c r="Q3585" s="1058"/>
      <c r="R3585" s="1063"/>
    </row>
    <row r="3586" spans="1:18" s="90" customFormat="1">
      <c r="A3586" s="1058"/>
      <c r="B3586" s="1065"/>
      <c r="C3586" s="1076"/>
      <c r="D3586" s="1074"/>
      <c r="E3586" s="1058"/>
      <c r="F3586" s="1075"/>
      <c r="G3586" s="1074"/>
      <c r="H3586" s="1067"/>
      <c r="I3586" s="1059"/>
      <c r="J3586" s="1068"/>
      <c r="K3586" s="1064"/>
      <c r="L3586" s="1069"/>
      <c r="M3586" s="1069"/>
      <c r="N3586" s="1069"/>
      <c r="O3586" s="1070"/>
      <c r="P3586" s="1071"/>
      <c r="Q3586" s="1058"/>
      <c r="R3586" s="1063"/>
    </row>
    <row r="3587" spans="1:18" s="90" customFormat="1">
      <c r="A3587" s="1058"/>
      <c r="B3587" s="1065"/>
      <c r="C3587" s="1076"/>
      <c r="D3587" s="1074"/>
      <c r="E3587" s="1058"/>
      <c r="F3587" s="1075"/>
      <c r="G3587" s="1074"/>
      <c r="H3587" s="1067"/>
      <c r="I3587" s="1059"/>
      <c r="J3587" s="1068"/>
      <c r="K3587" s="1064"/>
      <c r="L3587" s="1069"/>
      <c r="M3587" s="1069"/>
      <c r="N3587" s="1069"/>
      <c r="O3587" s="1070"/>
      <c r="P3587" s="1071"/>
      <c r="Q3587" s="1058"/>
      <c r="R3587" s="1063"/>
    </row>
    <row r="3588" spans="1:18" s="90" customFormat="1">
      <c r="A3588" s="1058"/>
      <c r="B3588" s="1065"/>
      <c r="C3588" s="1076"/>
      <c r="D3588" s="1074"/>
      <c r="E3588" s="1058"/>
      <c r="F3588" s="1075"/>
      <c r="G3588" s="1074"/>
      <c r="H3588" s="1067"/>
      <c r="I3588" s="1059"/>
      <c r="J3588" s="1068"/>
      <c r="K3588" s="1064"/>
      <c r="L3588" s="1069"/>
      <c r="M3588" s="1069"/>
      <c r="N3588" s="1069"/>
      <c r="O3588" s="1070"/>
      <c r="P3588" s="1071"/>
      <c r="Q3588" s="1058"/>
      <c r="R3588" s="1063"/>
    </row>
    <row r="3589" spans="1:18" s="90" customFormat="1">
      <c r="A3589" s="1058"/>
      <c r="B3589" s="1065"/>
      <c r="C3589" s="1076"/>
      <c r="D3589" s="1074"/>
      <c r="E3589" s="1058"/>
      <c r="F3589" s="1075"/>
      <c r="G3589" s="1074"/>
      <c r="H3589" s="1067"/>
      <c r="I3589" s="1059"/>
      <c r="J3589" s="1068"/>
      <c r="K3589" s="1064"/>
      <c r="L3589" s="1069"/>
      <c r="M3589" s="1069"/>
      <c r="N3589" s="1069"/>
      <c r="O3589" s="1070"/>
      <c r="P3589" s="1071"/>
      <c r="Q3589" s="1058"/>
      <c r="R3589" s="1063"/>
    </row>
    <row r="3590" spans="1:18" s="90" customFormat="1">
      <c r="A3590" s="1058"/>
      <c r="B3590" s="1065"/>
      <c r="C3590" s="1076"/>
      <c r="D3590" s="1074"/>
      <c r="E3590" s="1058"/>
      <c r="F3590" s="1075"/>
      <c r="G3590" s="1074"/>
      <c r="H3590" s="1067"/>
      <c r="I3590" s="1059"/>
      <c r="J3590" s="1068"/>
      <c r="K3590" s="1064"/>
      <c r="L3590" s="1069"/>
      <c r="M3590" s="1069"/>
      <c r="N3590" s="1069"/>
      <c r="O3590" s="1070"/>
      <c r="P3590" s="1071"/>
      <c r="Q3590" s="1058"/>
      <c r="R3590" s="1063"/>
    </row>
    <row r="3591" spans="1:18" s="90" customFormat="1">
      <c r="A3591" s="1058"/>
      <c r="B3591" s="1065"/>
      <c r="C3591" s="1076"/>
      <c r="D3591" s="1074"/>
      <c r="E3591" s="1058"/>
      <c r="F3591" s="1075"/>
      <c r="G3591" s="1074"/>
      <c r="H3591" s="1067"/>
      <c r="I3591" s="1059"/>
      <c r="J3591" s="1068"/>
      <c r="K3591" s="1064"/>
      <c r="L3591" s="1069"/>
      <c r="M3591" s="1069"/>
      <c r="N3591" s="1069"/>
      <c r="O3591" s="1070"/>
      <c r="P3591" s="1071"/>
      <c r="Q3591" s="1058"/>
      <c r="R3591" s="1063"/>
    </row>
    <row r="3592" spans="1:18" s="90" customFormat="1">
      <c r="A3592" s="1058"/>
      <c r="B3592" s="1065"/>
      <c r="C3592" s="1076"/>
      <c r="D3592" s="1074"/>
      <c r="E3592" s="1058"/>
      <c r="F3592" s="1075"/>
      <c r="G3592" s="1074"/>
      <c r="H3592" s="1067"/>
      <c r="I3592" s="1059"/>
      <c r="J3592" s="1068"/>
      <c r="K3592" s="1064"/>
      <c r="L3592" s="1069"/>
      <c r="M3592" s="1069"/>
      <c r="N3592" s="1069"/>
      <c r="O3592" s="1070"/>
      <c r="P3592" s="1071"/>
      <c r="Q3592" s="1058"/>
      <c r="R3592" s="1063"/>
    </row>
    <row r="3593" spans="1:18" s="90" customFormat="1">
      <c r="A3593" s="1058"/>
      <c r="B3593" s="1065"/>
      <c r="C3593" s="1076"/>
      <c r="D3593" s="1074"/>
      <c r="E3593" s="1058"/>
      <c r="F3593" s="1075"/>
      <c r="G3593" s="1074"/>
      <c r="H3593" s="1067"/>
      <c r="I3593" s="1059"/>
      <c r="J3593" s="1068"/>
      <c r="K3593" s="1064"/>
      <c r="L3593" s="1069"/>
      <c r="M3593" s="1069"/>
      <c r="N3593" s="1069"/>
      <c r="O3593" s="1070"/>
      <c r="P3593" s="1071"/>
      <c r="Q3593" s="1058"/>
      <c r="R3593" s="1063"/>
    </row>
    <row r="3594" spans="1:18" s="90" customFormat="1">
      <c r="A3594" s="1058"/>
      <c r="B3594" s="1065"/>
      <c r="C3594" s="1076"/>
      <c r="D3594" s="1074"/>
      <c r="E3594" s="1058"/>
      <c r="F3594" s="1075"/>
      <c r="G3594" s="1074"/>
      <c r="H3594" s="1067"/>
      <c r="I3594" s="1059"/>
      <c r="J3594" s="1068"/>
      <c r="K3594" s="1064"/>
      <c r="L3594" s="1069"/>
      <c r="M3594" s="1069"/>
      <c r="N3594" s="1069"/>
      <c r="O3594" s="1070"/>
      <c r="P3594" s="1071"/>
      <c r="Q3594" s="1058"/>
      <c r="R3594" s="1063"/>
    </row>
    <row r="3595" spans="1:18" s="90" customFormat="1">
      <c r="A3595" s="1058"/>
      <c r="B3595" s="1065"/>
      <c r="C3595" s="1076"/>
      <c r="D3595" s="1074"/>
      <c r="E3595" s="1058"/>
      <c r="F3595" s="1075"/>
      <c r="G3595" s="1074"/>
      <c r="H3595" s="1067"/>
      <c r="I3595" s="1059"/>
      <c r="J3595" s="1068"/>
      <c r="K3595" s="1064"/>
      <c r="L3595" s="1069"/>
      <c r="M3595" s="1069"/>
      <c r="N3595" s="1069"/>
      <c r="O3595" s="1070"/>
      <c r="P3595" s="1071"/>
      <c r="Q3595" s="1058"/>
      <c r="R3595" s="1063"/>
    </row>
    <row r="3596" spans="1:18" s="90" customFormat="1">
      <c r="A3596" s="1058"/>
      <c r="B3596" s="1065"/>
      <c r="C3596" s="1076"/>
      <c r="D3596" s="1074"/>
      <c r="E3596" s="1058"/>
      <c r="F3596" s="1075"/>
      <c r="G3596" s="1074"/>
      <c r="H3596" s="1067"/>
      <c r="I3596" s="1059"/>
      <c r="J3596" s="1068"/>
      <c r="K3596" s="1064"/>
      <c r="L3596" s="1069"/>
      <c r="M3596" s="1069"/>
      <c r="N3596" s="1069"/>
      <c r="O3596" s="1070"/>
      <c r="P3596" s="1071"/>
      <c r="Q3596" s="1058"/>
      <c r="R3596" s="1063"/>
    </row>
    <row r="3597" spans="1:18" s="90" customFormat="1">
      <c r="A3597" s="1058"/>
      <c r="B3597" s="1065"/>
      <c r="C3597" s="1076"/>
      <c r="D3597" s="1074"/>
      <c r="E3597" s="1058"/>
      <c r="F3597" s="1075"/>
      <c r="G3597" s="1074"/>
      <c r="H3597" s="1067"/>
      <c r="I3597" s="1059"/>
      <c r="J3597" s="1068"/>
      <c r="K3597" s="1064"/>
      <c r="L3597" s="1069"/>
      <c r="M3597" s="1069"/>
      <c r="N3597" s="1069"/>
      <c r="O3597" s="1070"/>
      <c r="P3597" s="1071"/>
      <c r="Q3597" s="1058"/>
      <c r="R3597" s="1063"/>
    </row>
    <row r="3598" spans="1:18" s="90" customFormat="1">
      <c r="A3598" s="1058"/>
      <c r="B3598" s="1065"/>
      <c r="C3598" s="1076"/>
      <c r="D3598" s="1074"/>
      <c r="E3598" s="1058"/>
      <c r="F3598" s="1075"/>
      <c r="G3598" s="1074"/>
      <c r="H3598" s="1067"/>
      <c r="I3598" s="1059"/>
      <c r="J3598" s="1068"/>
      <c r="K3598" s="1064"/>
      <c r="L3598" s="1069"/>
      <c r="M3598" s="1069"/>
      <c r="N3598" s="1069"/>
      <c r="O3598" s="1070"/>
      <c r="P3598" s="1071"/>
      <c r="Q3598" s="1058"/>
      <c r="R3598" s="1063"/>
    </row>
    <row r="3599" spans="1:18" s="90" customFormat="1">
      <c r="A3599" s="1058"/>
      <c r="B3599" s="1065"/>
      <c r="C3599" s="1076"/>
      <c r="D3599" s="1074"/>
      <c r="E3599" s="1058"/>
      <c r="F3599" s="1075"/>
      <c r="G3599" s="1074"/>
      <c r="H3599" s="1067"/>
      <c r="I3599" s="1059"/>
      <c r="J3599" s="1068"/>
      <c r="K3599" s="1064"/>
      <c r="L3599" s="1069"/>
      <c r="M3599" s="1069"/>
      <c r="N3599" s="1069"/>
      <c r="O3599" s="1070"/>
      <c r="P3599" s="1071"/>
      <c r="Q3599" s="1058"/>
      <c r="R3599" s="1063"/>
    </row>
    <row r="3600" spans="1:18" s="90" customFormat="1">
      <c r="A3600" s="1058"/>
      <c r="B3600" s="1065"/>
      <c r="C3600" s="1076"/>
      <c r="D3600" s="1074"/>
      <c r="E3600" s="1058"/>
      <c r="F3600" s="1075"/>
      <c r="G3600" s="1074"/>
      <c r="H3600" s="1067"/>
      <c r="I3600" s="1059"/>
      <c r="J3600" s="1068"/>
      <c r="K3600" s="1064"/>
      <c r="L3600" s="1069"/>
      <c r="M3600" s="1069"/>
      <c r="N3600" s="1069"/>
      <c r="O3600" s="1070"/>
      <c r="P3600" s="1071"/>
      <c r="Q3600" s="1058"/>
      <c r="R3600" s="1063"/>
    </row>
    <row r="3601" spans="1:18" s="90" customFormat="1">
      <c r="A3601" s="1058"/>
      <c r="B3601" s="1065"/>
      <c r="C3601" s="1076"/>
      <c r="D3601" s="1074"/>
      <c r="E3601" s="1058"/>
      <c r="F3601" s="1075"/>
      <c r="G3601" s="1074"/>
      <c r="H3601" s="1067"/>
      <c r="I3601" s="1059"/>
      <c r="J3601" s="1068"/>
      <c r="K3601" s="1064"/>
      <c r="L3601" s="1069"/>
      <c r="M3601" s="1069"/>
      <c r="N3601" s="1069"/>
      <c r="O3601" s="1070"/>
      <c r="P3601" s="1071"/>
      <c r="Q3601" s="1058"/>
      <c r="R3601" s="1063"/>
    </row>
    <row r="3602" spans="1:18" s="90" customFormat="1">
      <c r="A3602" s="1058"/>
      <c r="B3602" s="1065"/>
      <c r="C3602" s="1076"/>
      <c r="D3602" s="1074"/>
      <c r="E3602" s="1058"/>
      <c r="F3602" s="1075"/>
      <c r="G3602" s="1074"/>
      <c r="H3602" s="1067"/>
      <c r="I3602" s="1059"/>
      <c r="J3602" s="1068"/>
      <c r="K3602" s="1064"/>
      <c r="L3602" s="1069"/>
      <c r="M3602" s="1069"/>
      <c r="N3602" s="1069"/>
      <c r="O3602" s="1070"/>
      <c r="P3602" s="1071"/>
      <c r="Q3602" s="1058"/>
      <c r="R3602" s="1063"/>
    </row>
    <row r="3603" spans="1:18" s="90" customFormat="1">
      <c r="A3603" s="1058"/>
      <c r="B3603" s="1065"/>
      <c r="C3603" s="1076"/>
      <c r="D3603" s="1074"/>
      <c r="E3603" s="1058"/>
      <c r="F3603" s="1075"/>
      <c r="G3603" s="1074"/>
      <c r="H3603" s="1067"/>
      <c r="I3603" s="1059"/>
      <c r="J3603" s="1068"/>
      <c r="K3603" s="1064"/>
      <c r="L3603" s="1069"/>
      <c r="M3603" s="1069"/>
      <c r="N3603" s="1069"/>
      <c r="O3603" s="1070"/>
      <c r="P3603" s="1071"/>
      <c r="Q3603" s="1058"/>
      <c r="R3603" s="1063"/>
    </row>
    <row r="3604" spans="1:18" s="90" customFormat="1">
      <c r="A3604" s="1058"/>
      <c r="B3604" s="1065"/>
      <c r="C3604" s="1076"/>
      <c r="D3604" s="1074"/>
      <c r="E3604" s="1058"/>
      <c r="F3604" s="1075"/>
      <c r="G3604" s="1074"/>
      <c r="H3604" s="1067"/>
      <c r="I3604" s="1059"/>
      <c r="J3604" s="1068"/>
      <c r="K3604" s="1064"/>
      <c r="L3604" s="1069"/>
      <c r="M3604" s="1069"/>
      <c r="N3604" s="1069"/>
      <c r="O3604" s="1070"/>
      <c r="P3604" s="1071"/>
      <c r="Q3604" s="1058"/>
      <c r="R3604" s="1063"/>
    </row>
    <row r="3605" spans="1:18" s="90" customFormat="1">
      <c r="A3605" s="1058"/>
      <c r="B3605" s="1065"/>
      <c r="C3605" s="1076"/>
      <c r="D3605" s="1074"/>
      <c r="E3605" s="1058"/>
      <c r="F3605" s="1075"/>
      <c r="G3605" s="1074"/>
      <c r="H3605" s="1067"/>
      <c r="I3605" s="1059"/>
      <c r="J3605" s="1068"/>
      <c r="K3605" s="1064"/>
      <c r="L3605" s="1069"/>
      <c r="M3605" s="1069"/>
      <c r="N3605" s="1069"/>
      <c r="O3605" s="1070"/>
      <c r="P3605" s="1071"/>
      <c r="Q3605" s="1058"/>
      <c r="R3605" s="1063"/>
    </row>
    <row r="3606" spans="1:18" s="90" customFormat="1">
      <c r="A3606" s="1058"/>
      <c r="B3606" s="1065"/>
      <c r="C3606" s="1076"/>
      <c r="D3606" s="1074"/>
      <c r="E3606" s="1058"/>
      <c r="F3606" s="1075"/>
      <c r="G3606" s="1074"/>
      <c r="H3606" s="1067"/>
      <c r="I3606" s="1059"/>
      <c r="J3606" s="1068"/>
      <c r="K3606" s="1064"/>
      <c r="L3606" s="1069"/>
      <c r="M3606" s="1069"/>
      <c r="N3606" s="1069"/>
      <c r="O3606" s="1070"/>
      <c r="P3606" s="1071"/>
      <c r="Q3606" s="1058"/>
      <c r="R3606" s="1063"/>
    </row>
    <row r="3607" spans="1:18" s="90" customFormat="1">
      <c r="A3607" s="1058"/>
      <c r="B3607" s="1065"/>
      <c r="C3607" s="1076"/>
      <c r="D3607" s="1074"/>
      <c r="E3607" s="1058"/>
      <c r="F3607" s="1075"/>
      <c r="G3607" s="1074"/>
      <c r="H3607" s="1067"/>
      <c r="I3607" s="1059"/>
      <c r="J3607" s="1068"/>
      <c r="K3607" s="1064"/>
      <c r="L3607" s="1069"/>
      <c r="M3607" s="1069"/>
      <c r="N3607" s="1069"/>
      <c r="O3607" s="1070"/>
      <c r="P3607" s="1071"/>
      <c r="Q3607" s="1058"/>
      <c r="R3607" s="1063"/>
    </row>
    <row r="3608" spans="1:18" s="90" customFormat="1">
      <c r="A3608" s="1058"/>
      <c r="B3608" s="1065"/>
      <c r="C3608" s="1076"/>
      <c r="D3608" s="1074"/>
      <c r="E3608" s="1058"/>
      <c r="F3608" s="1075"/>
      <c r="G3608" s="1074"/>
      <c r="H3608" s="1067"/>
      <c r="I3608" s="1059"/>
      <c r="J3608" s="1068"/>
      <c r="K3608" s="1064"/>
      <c r="L3608" s="1069"/>
      <c r="M3608" s="1069"/>
      <c r="N3608" s="1069"/>
      <c r="O3608" s="1070"/>
      <c r="P3608" s="1071"/>
      <c r="Q3608" s="1058"/>
      <c r="R3608" s="1063"/>
    </row>
    <row r="3609" spans="1:18" s="90" customFormat="1">
      <c r="A3609" s="1058"/>
      <c r="B3609" s="1065"/>
      <c r="C3609" s="1076"/>
      <c r="D3609" s="1074"/>
      <c r="E3609" s="1058"/>
      <c r="F3609" s="1075"/>
      <c r="G3609" s="1074"/>
      <c r="H3609" s="1067"/>
      <c r="I3609" s="1059"/>
      <c r="J3609" s="1068"/>
      <c r="K3609" s="1064"/>
      <c r="L3609" s="1069"/>
      <c r="M3609" s="1069"/>
      <c r="N3609" s="1069"/>
      <c r="O3609" s="1070"/>
      <c r="P3609" s="1071"/>
      <c r="Q3609" s="1058"/>
      <c r="R3609" s="1063"/>
    </row>
    <row r="3610" spans="1:18" s="90" customFormat="1">
      <c r="A3610" s="1058"/>
      <c r="B3610" s="1065"/>
      <c r="C3610" s="1076"/>
      <c r="D3610" s="1074"/>
      <c r="E3610" s="1058"/>
      <c r="F3610" s="1075"/>
      <c r="G3610" s="1074"/>
      <c r="H3610" s="1067"/>
      <c r="I3610" s="1059"/>
      <c r="J3610" s="1068"/>
      <c r="K3610" s="1064"/>
      <c r="L3610" s="1069"/>
      <c r="M3610" s="1069"/>
      <c r="N3610" s="1069"/>
      <c r="O3610" s="1070"/>
      <c r="P3610" s="1071"/>
      <c r="Q3610" s="1058"/>
      <c r="R3610" s="1063"/>
    </row>
    <row r="3611" spans="1:18" s="90" customFormat="1">
      <c r="A3611" s="1058"/>
      <c r="B3611" s="1065"/>
      <c r="C3611" s="1076"/>
      <c r="D3611" s="1074"/>
      <c r="E3611" s="1058"/>
      <c r="F3611" s="1075"/>
      <c r="G3611" s="1074"/>
      <c r="H3611" s="1067"/>
      <c r="I3611" s="1059"/>
      <c r="J3611" s="1068"/>
      <c r="K3611" s="1064"/>
      <c r="L3611" s="1069"/>
      <c r="M3611" s="1069"/>
      <c r="N3611" s="1069"/>
      <c r="O3611" s="1070"/>
      <c r="P3611" s="1071"/>
      <c r="Q3611" s="1058"/>
      <c r="R3611" s="1063"/>
    </row>
    <row r="3612" spans="1:18" s="90" customFormat="1">
      <c r="A3612" s="1058"/>
      <c r="B3612" s="1065"/>
      <c r="C3612" s="1076"/>
      <c r="D3612" s="1074"/>
      <c r="E3612" s="1058"/>
      <c r="F3612" s="1075"/>
      <c r="G3612" s="1074"/>
      <c r="H3612" s="1067"/>
      <c r="I3612" s="1059"/>
      <c r="J3612" s="1068"/>
      <c r="K3612" s="1064"/>
      <c r="L3612" s="1069"/>
      <c r="M3612" s="1069"/>
      <c r="N3612" s="1069"/>
      <c r="O3612" s="1070"/>
      <c r="P3612" s="1071"/>
      <c r="Q3612" s="1058"/>
      <c r="R3612" s="1063"/>
    </row>
    <row r="3613" spans="1:18" s="90" customFormat="1">
      <c r="A3613" s="1058"/>
      <c r="B3613" s="1065"/>
      <c r="C3613" s="1076"/>
      <c r="D3613" s="1074"/>
      <c r="E3613" s="1058"/>
      <c r="F3613" s="1075"/>
      <c r="G3613" s="1074"/>
      <c r="H3613" s="1067"/>
      <c r="I3613" s="1059"/>
      <c r="J3613" s="1068"/>
      <c r="K3613" s="1064"/>
      <c r="L3613" s="1069"/>
      <c r="M3613" s="1069"/>
      <c r="N3613" s="1069"/>
      <c r="O3613" s="1070"/>
      <c r="P3613" s="1071"/>
      <c r="Q3613" s="1058"/>
      <c r="R3613" s="1063"/>
    </row>
    <row r="3614" spans="1:18" s="90" customFormat="1">
      <c r="A3614" s="1058"/>
      <c r="B3614" s="1065"/>
      <c r="C3614" s="1076"/>
      <c r="D3614" s="1074"/>
      <c r="E3614" s="1058"/>
      <c r="F3614" s="1075"/>
      <c r="G3614" s="1074"/>
      <c r="H3614" s="1067"/>
      <c r="I3614" s="1059"/>
      <c r="J3614" s="1068"/>
      <c r="K3614" s="1064"/>
      <c r="L3614" s="1069"/>
      <c r="M3614" s="1069"/>
      <c r="N3614" s="1069"/>
      <c r="O3614" s="1070"/>
      <c r="P3614" s="1071"/>
      <c r="Q3614" s="1058"/>
      <c r="R3614" s="1063"/>
    </row>
    <row r="3615" spans="1:18" s="90" customFormat="1">
      <c r="A3615" s="1058"/>
      <c r="B3615" s="1065"/>
      <c r="C3615" s="1076"/>
      <c r="D3615" s="1074"/>
      <c r="E3615" s="1058"/>
      <c r="F3615" s="1075"/>
      <c r="G3615" s="1074"/>
      <c r="H3615" s="1067"/>
      <c r="I3615" s="1059"/>
      <c r="J3615" s="1068"/>
      <c r="K3615" s="1064"/>
      <c r="L3615" s="1069"/>
      <c r="M3615" s="1069"/>
      <c r="N3615" s="1069"/>
      <c r="O3615" s="1070"/>
      <c r="P3615" s="1071"/>
      <c r="Q3615" s="1058"/>
      <c r="R3615" s="1063"/>
    </row>
    <row r="3616" spans="1:18" s="90" customFormat="1">
      <c r="A3616" s="1058"/>
      <c r="B3616" s="1065"/>
      <c r="C3616" s="1076"/>
      <c r="D3616" s="1074"/>
      <c r="E3616" s="1058"/>
      <c r="F3616" s="1075"/>
      <c r="G3616" s="1074"/>
      <c r="H3616" s="1067"/>
      <c r="I3616" s="1059"/>
      <c r="J3616" s="1068"/>
      <c r="K3616" s="1064"/>
      <c r="L3616" s="1069"/>
      <c r="M3616" s="1069"/>
      <c r="N3616" s="1069"/>
      <c r="O3616" s="1070"/>
      <c r="P3616" s="1071"/>
      <c r="Q3616" s="1058"/>
      <c r="R3616" s="1063"/>
    </row>
    <row r="3617" spans="1:18" s="90" customFormat="1">
      <c r="A3617" s="1058"/>
      <c r="B3617" s="1065"/>
      <c r="C3617" s="1076"/>
      <c r="D3617" s="1074"/>
      <c r="E3617" s="1058"/>
      <c r="F3617" s="1075"/>
      <c r="G3617" s="1074"/>
      <c r="H3617" s="1067"/>
      <c r="I3617" s="1059"/>
      <c r="J3617" s="1068"/>
      <c r="K3617" s="1064"/>
      <c r="L3617" s="1069"/>
      <c r="M3617" s="1069"/>
      <c r="N3617" s="1069"/>
      <c r="O3617" s="1070"/>
      <c r="P3617" s="1071"/>
      <c r="Q3617" s="1058"/>
      <c r="R3617" s="1063"/>
    </row>
    <row r="3618" spans="1:18" s="90" customFormat="1">
      <c r="A3618" s="1058"/>
      <c r="B3618" s="1065"/>
      <c r="C3618" s="1076"/>
      <c r="D3618" s="1074"/>
      <c r="E3618" s="1058"/>
      <c r="F3618" s="1075"/>
      <c r="G3618" s="1074"/>
      <c r="H3618" s="1067"/>
      <c r="I3618" s="1059"/>
      <c r="J3618" s="1068"/>
      <c r="K3618" s="1064"/>
      <c r="L3618" s="1069"/>
      <c r="M3618" s="1069"/>
      <c r="N3618" s="1069"/>
      <c r="O3618" s="1070"/>
      <c r="P3618" s="1071"/>
      <c r="Q3618" s="1058"/>
      <c r="R3618" s="1063"/>
    </row>
    <row r="3619" spans="1:18" s="90" customFormat="1">
      <c r="A3619" s="1058"/>
      <c r="B3619" s="1065"/>
      <c r="C3619" s="1076"/>
      <c r="D3619" s="1074"/>
      <c r="E3619" s="1058"/>
      <c r="F3619" s="1075"/>
      <c r="G3619" s="1074"/>
      <c r="H3619" s="1067"/>
      <c r="I3619" s="1059"/>
      <c r="J3619" s="1068"/>
      <c r="K3619" s="1064"/>
      <c r="L3619" s="1069"/>
      <c r="M3619" s="1069"/>
      <c r="N3619" s="1069"/>
      <c r="O3619" s="1070"/>
      <c r="P3619" s="1071"/>
      <c r="Q3619" s="1058"/>
      <c r="R3619" s="1063"/>
    </row>
    <row r="3620" spans="1:18" s="90" customFormat="1">
      <c r="A3620" s="1058"/>
      <c r="B3620" s="1065"/>
      <c r="C3620" s="1076"/>
      <c r="D3620" s="1074"/>
      <c r="E3620" s="1058"/>
      <c r="F3620" s="1075"/>
      <c r="G3620" s="1074"/>
      <c r="H3620" s="1067"/>
      <c r="I3620" s="1059"/>
      <c r="J3620" s="1068"/>
      <c r="K3620" s="1064"/>
      <c r="L3620" s="1069"/>
      <c r="M3620" s="1069"/>
      <c r="N3620" s="1069"/>
      <c r="O3620" s="1070"/>
      <c r="P3620" s="1071"/>
      <c r="Q3620" s="1058"/>
      <c r="R3620" s="1063"/>
    </row>
    <row r="3621" spans="1:18" s="90" customFormat="1">
      <c r="A3621" s="1058"/>
      <c r="B3621" s="1065"/>
      <c r="C3621" s="1076"/>
      <c r="D3621" s="1074"/>
      <c r="E3621" s="1058"/>
      <c r="F3621" s="1075"/>
      <c r="G3621" s="1074"/>
      <c r="H3621" s="1067"/>
      <c r="I3621" s="1059"/>
      <c r="J3621" s="1068"/>
      <c r="K3621" s="1064"/>
      <c r="L3621" s="1069"/>
      <c r="M3621" s="1069"/>
      <c r="N3621" s="1069"/>
      <c r="O3621" s="1070"/>
      <c r="P3621" s="1071"/>
      <c r="Q3621" s="1058"/>
      <c r="R3621" s="1063"/>
    </row>
    <row r="3622" spans="1:18" s="90" customFormat="1">
      <c r="A3622" s="1058"/>
      <c r="B3622" s="1065"/>
      <c r="C3622" s="1076"/>
      <c r="D3622" s="1074"/>
      <c r="E3622" s="1058"/>
      <c r="F3622" s="1075"/>
      <c r="G3622" s="1074"/>
      <c r="H3622" s="1067"/>
      <c r="I3622" s="1059"/>
      <c r="J3622" s="1068"/>
      <c r="K3622" s="1064"/>
      <c r="L3622" s="1069"/>
      <c r="M3622" s="1069"/>
      <c r="N3622" s="1069"/>
      <c r="O3622" s="1070"/>
      <c r="P3622" s="1071"/>
      <c r="Q3622" s="1058"/>
      <c r="R3622" s="1063"/>
    </row>
    <row r="3623" spans="1:18" s="90" customFormat="1">
      <c r="A3623" s="1058"/>
      <c r="B3623" s="1065"/>
      <c r="C3623" s="1076"/>
      <c r="D3623" s="1074"/>
      <c r="E3623" s="1058"/>
      <c r="F3623" s="1075"/>
      <c r="G3623" s="1074"/>
      <c r="H3623" s="1067"/>
      <c r="I3623" s="1059"/>
      <c r="J3623" s="1068"/>
      <c r="K3623" s="1064"/>
      <c r="L3623" s="1069"/>
      <c r="M3623" s="1069"/>
      <c r="N3623" s="1069"/>
      <c r="O3623" s="1070"/>
      <c r="P3623" s="1071"/>
      <c r="Q3623" s="1058"/>
      <c r="R3623" s="1063"/>
    </row>
    <row r="3624" spans="1:18" s="90" customFormat="1">
      <c r="A3624" s="1058"/>
      <c r="B3624" s="1065"/>
      <c r="C3624" s="1076"/>
      <c r="D3624" s="1074"/>
      <c r="E3624" s="1058"/>
      <c r="F3624" s="1075"/>
      <c r="G3624" s="1074"/>
      <c r="H3624" s="1067"/>
      <c r="I3624" s="1059"/>
      <c r="J3624" s="1068"/>
      <c r="K3624" s="1064"/>
      <c r="L3624" s="1069"/>
      <c r="M3624" s="1069"/>
      <c r="N3624" s="1069"/>
      <c r="O3624" s="1070"/>
      <c r="P3624" s="1071"/>
      <c r="Q3624" s="1058"/>
      <c r="R3624" s="1063"/>
    </row>
    <row r="3625" spans="1:18" s="90" customFormat="1">
      <c r="A3625" s="1058"/>
      <c r="B3625" s="1065"/>
      <c r="C3625" s="1076"/>
      <c r="D3625" s="1074"/>
      <c r="E3625" s="1058"/>
      <c r="F3625" s="1075"/>
      <c r="G3625" s="1074"/>
      <c r="H3625" s="1067"/>
      <c r="I3625" s="1059"/>
      <c r="J3625" s="1068"/>
      <c r="K3625" s="1064"/>
      <c r="L3625" s="1069"/>
      <c r="M3625" s="1069"/>
      <c r="N3625" s="1069"/>
      <c r="O3625" s="1070"/>
      <c r="P3625" s="1071"/>
      <c r="Q3625" s="1058"/>
      <c r="R3625" s="1063"/>
    </row>
    <row r="3626" spans="1:18" s="90" customFormat="1">
      <c r="A3626" s="1058"/>
      <c r="B3626" s="1065"/>
      <c r="C3626" s="1076"/>
      <c r="D3626" s="1074"/>
      <c r="E3626" s="1058"/>
      <c r="F3626" s="1075"/>
      <c r="G3626" s="1074"/>
      <c r="H3626" s="1067"/>
      <c r="I3626" s="1059"/>
      <c r="J3626" s="1068"/>
      <c r="K3626" s="1064"/>
      <c r="L3626" s="1069"/>
      <c r="M3626" s="1069"/>
      <c r="N3626" s="1069"/>
      <c r="O3626" s="1070"/>
      <c r="P3626" s="1071"/>
      <c r="Q3626" s="1058"/>
      <c r="R3626" s="1063"/>
    </row>
    <row r="3627" spans="1:18" s="90" customFormat="1">
      <c r="A3627" s="1058"/>
      <c r="B3627" s="1065"/>
      <c r="C3627" s="1076"/>
      <c r="D3627" s="1074"/>
      <c r="E3627" s="1058"/>
      <c r="F3627" s="1075"/>
      <c r="G3627" s="1074"/>
      <c r="H3627" s="1067"/>
      <c r="I3627" s="1059"/>
      <c r="J3627" s="1068"/>
      <c r="K3627" s="1064"/>
      <c r="L3627" s="1069"/>
      <c r="M3627" s="1069"/>
      <c r="N3627" s="1069"/>
      <c r="O3627" s="1070"/>
      <c r="P3627" s="1071"/>
      <c r="Q3627" s="1058"/>
      <c r="R3627" s="1063"/>
    </row>
    <row r="3628" spans="1:18" s="90" customFormat="1">
      <c r="A3628" s="1058"/>
      <c r="B3628" s="1065"/>
      <c r="C3628" s="1076"/>
      <c r="D3628" s="1074"/>
      <c r="E3628" s="1058"/>
      <c r="F3628" s="1075"/>
      <c r="G3628" s="1074"/>
      <c r="H3628" s="1067"/>
      <c r="I3628" s="1059"/>
      <c r="J3628" s="1068"/>
      <c r="K3628" s="1064"/>
      <c r="L3628" s="1069"/>
      <c r="M3628" s="1069"/>
      <c r="N3628" s="1069"/>
      <c r="O3628" s="1070"/>
      <c r="P3628" s="1071"/>
      <c r="Q3628" s="1058"/>
      <c r="R3628" s="1063"/>
    </row>
    <row r="3629" spans="1:18" s="90" customFormat="1">
      <c r="A3629" s="1058"/>
      <c r="B3629" s="1065"/>
      <c r="C3629" s="1076"/>
      <c r="D3629" s="1074"/>
      <c r="E3629" s="1058"/>
      <c r="F3629" s="1075"/>
      <c r="G3629" s="1074"/>
      <c r="H3629" s="1067"/>
      <c r="I3629" s="1059"/>
      <c r="J3629" s="1068"/>
      <c r="K3629" s="1064"/>
      <c r="L3629" s="1069"/>
      <c r="M3629" s="1069"/>
      <c r="N3629" s="1069"/>
      <c r="O3629" s="1070"/>
      <c r="P3629" s="1071"/>
      <c r="Q3629" s="1058"/>
      <c r="R3629" s="1063"/>
    </row>
    <row r="3630" spans="1:18" s="90" customFormat="1">
      <c r="A3630" s="1058"/>
      <c r="B3630" s="1065"/>
      <c r="C3630" s="1076"/>
      <c r="D3630" s="1074"/>
      <c r="E3630" s="1058"/>
      <c r="F3630" s="1075"/>
      <c r="G3630" s="1074"/>
      <c r="H3630" s="1067"/>
      <c r="I3630" s="1059"/>
      <c r="J3630" s="1068"/>
      <c r="K3630" s="1064"/>
      <c r="L3630" s="1069"/>
      <c r="M3630" s="1069"/>
      <c r="N3630" s="1069"/>
      <c r="O3630" s="1070"/>
      <c r="P3630" s="1071"/>
      <c r="Q3630" s="1058"/>
      <c r="R3630" s="1063"/>
    </row>
    <row r="3631" spans="1:18" s="90" customFormat="1">
      <c r="A3631" s="1058"/>
      <c r="B3631" s="1065"/>
      <c r="C3631" s="1076"/>
      <c r="D3631" s="1074"/>
      <c r="E3631" s="1058"/>
      <c r="F3631" s="1075"/>
      <c r="G3631" s="1074"/>
      <c r="H3631" s="1067"/>
      <c r="I3631" s="1059"/>
      <c r="J3631" s="1068"/>
      <c r="K3631" s="1064"/>
      <c r="L3631" s="1069"/>
      <c r="M3631" s="1069"/>
      <c r="N3631" s="1069"/>
      <c r="O3631" s="1070"/>
      <c r="P3631" s="1071"/>
      <c r="Q3631" s="1058"/>
      <c r="R3631" s="1063"/>
    </row>
    <row r="3632" spans="1:18" s="90" customFormat="1">
      <c r="A3632" s="1058"/>
      <c r="B3632" s="1065"/>
      <c r="C3632" s="1076"/>
      <c r="D3632" s="1074"/>
      <c r="E3632" s="1058"/>
      <c r="F3632" s="1075"/>
      <c r="G3632" s="1074"/>
      <c r="H3632" s="1067"/>
      <c r="I3632" s="1059"/>
      <c r="J3632" s="1068"/>
      <c r="K3632" s="1064"/>
      <c r="L3632" s="1069"/>
      <c r="M3632" s="1069"/>
      <c r="N3632" s="1069"/>
      <c r="O3632" s="1070"/>
      <c r="P3632" s="1071"/>
      <c r="Q3632" s="1058"/>
      <c r="R3632" s="1063"/>
    </row>
    <row r="3633" spans="1:18" s="90" customFormat="1">
      <c r="A3633" s="1058"/>
      <c r="B3633" s="1065"/>
      <c r="C3633" s="1076"/>
      <c r="D3633" s="1074"/>
      <c r="E3633" s="1058"/>
      <c r="F3633" s="1075"/>
      <c r="G3633" s="1074"/>
      <c r="H3633" s="1067"/>
      <c r="I3633" s="1059"/>
      <c r="J3633" s="1068"/>
      <c r="K3633" s="1064"/>
      <c r="L3633" s="1069"/>
      <c r="M3633" s="1069"/>
      <c r="N3633" s="1069"/>
      <c r="O3633" s="1070"/>
      <c r="P3633" s="1071"/>
      <c r="Q3633" s="1058"/>
      <c r="R3633" s="1063"/>
    </row>
    <row r="3634" spans="1:18" s="90" customFormat="1">
      <c r="A3634" s="1058"/>
      <c r="B3634" s="1065"/>
      <c r="C3634" s="1076"/>
      <c r="D3634" s="1074"/>
      <c r="E3634" s="1058"/>
      <c r="F3634" s="1075"/>
      <c r="G3634" s="1074"/>
      <c r="H3634" s="1067"/>
      <c r="I3634" s="1059"/>
      <c r="J3634" s="1068"/>
      <c r="K3634" s="1064"/>
      <c r="L3634" s="1069"/>
      <c r="M3634" s="1069"/>
      <c r="N3634" s="1069"/>
      <c r="O3634" s="1070"/>
      <c r="P3634" s="1071"/>
      <c r="Q3634" s="1058"/>
      <c r="R3634" s="1063"/>
    </row>
    <row r="3635" spans="1:18" s="90" customFormat="1">
      <c r="A3635" s="1058"/>
      <c r="B3635" s="1065"/>
      <c r="C3635" s="1076"/>
      <c r="D3635" s="1074"/>
      <c r="E3635" s="1058"/>
      <c r="F3635" s="1075"/>
      <c r="G3635" s="1074"/>
      <c r="H3635" s="1067"/>
      <c r="I3635" s="1059"/>
      <c r="J3635" s="1068"/>
      <c r="K3635" s="1064"/>
      <c r="L3635" s="1069"/>
      <c r="M3635" s="1069"/>
      <c r="N3635" s="1069"/>
      <c r="O3635" s="1070"/>
      <c r="P3635" s="1071"/>
      <c r="Q3635" s="1058"/>
      <c r="R3635" s="1063"/>
    </row>
    <row r="3636" spans="1:18" s="90" customFormat="1">
      <c r="A3636" s="1058"/>
      <c r="B3636" s="1065"/>
      <c r="C3636" s="1076"/>
      <c r="D3636" s="1074"/>
      <c r="E3636" s="1058"/>
      <c r="F3636" s="1075"/>
      <c r="G3636" s="1074"/>
      <c r="H3636" s="1067"/>
      <c r="I3636" s="1059"/>
      <c r="J3636" s="1068"/>
      <c r="K3636" s="1064"/>
      <c r="L3636" s="1069"/>
      <c r="M3636" s="1069"/>
      <c r="N3636" s="1069"/>
      <c r="O3636" s="1070"/>
      <c r="P3636" s="1071"/>
      <c r="Q3636" s="1058"/>
      <c r="R3636" s="1063"/>
    </row>
    <row r="3637" spans="1:18" s="90" customFormat="1">
      <c r="A3637" s="1058"/>
      <c r="B3637" s="1065"/>
      <c r="C3637" s="1076"/>
      <c r="D3637" s="1074"/>
      <c r="E3637" s="1058"/>
      <c r="F3637" s="1075"/>
      <c r="G3637" s="1074"/>
      <c r="H3637" s="1067"/>
      <c r="I3637" s="1059"/>
      <c r="J3637" s="1068"/>
      <c r="K3637" s="1064"/>
      <c r="L3637" s="1069"/>
      <c r="M3637" s="1069"/>
      <c r="N3637" s="1069"/>
      <c r="O3637" s="1070"/>
      <c r="P3637" s="1071"/>
      <c r="Q3637" s="1058"/>
      <c r="R3637" s="1063"/>
    </row>
    <row r="3638" spans="1:18" s="90" customFormat="1">
      <c r="A3638" s="1058"/>
      <c r="B3638" s="1065"/>
      <c r="C3638" s="1076"/>
      <c r="D3638" s="1074"/>
      <c r="E3638" s="1058"/>
      <c r="F3638" s="1075"/>
      <c r="G3638" s="1074"/>
      <c r="H3638" s="1067"/>
      <c r="I3638" s="1059"/>
      <c r="J3638" s="1068"/>
      <c r="K3638" s="1064"/>
      <c r="L3638" s="1069"/>
      <c r="M3638" s="1069"/>
      <c r="N3638" s="1069"/>
      <c r="O3638" s="1070"/>
      <c r="P3638" s="1071"/>
      <c r="Q3638" s="1058"/>
      <c r="R3638" s="1063"/>
    </row>
    <row r="3639" spans="1:18">
      <c r="A3639" s="1058" t="s">
        <v>670</v>
      </c>
      <c r="B3639" s="1065">
        <f>+I225</f>
        <v>56925</v>
      </c>
      <c r="C3639" s="1065">
        <f ca="1">+K225</f>
        <v>76072.25</v>
      </c>
      <c r="D3639" s="1065">
        <f>+L275</f>
        <v>0</v>
      </c>
      <c r="E3639" s="1058">
        <f>+E3533+1</f>
        <v>18</v>
      </c>
      <c r="F3639" s="1073"/>
      <c r="G3639" s="1077" t="s">
        <v>663</v>
      </c>
      <c r="H3639" s="1067">
        <f>+H3533</f>
        <v>44181</v>
      </c>
      <c r="I3639" s="1059">
        <f>+I3533</f>
        <v>450</v>
      </c>
      <c r="J3639" s="1068">
        <f t="shared" si="90"/>
        <v>44631</v>
      </c>
      <c r="K3639" s="1064">
        <f t="shared" si="91"/>
        <v>56925</v>
      </c>
      <c r="L3639" s="1069">
        <v>5</v>
      </c>
      <c r="M3639" s="1069">
        <f t="shared" si="92"/>
        <v>2846.25</v>
      </c>
      <c r="N3639" s="1069">
        <f>+K3639+M3639</f>
        <v>59771.25</v>
      </c>
      <c r="O3639" s="1070">
        <f ca="1">IF(+TODAY()&gt;=J3639,0,+M3639)</f>
        <v>2846.25</v>
      </c>
      <c r="P3639" s="1071">
        <f ca="1">ROUND(O3639,0)</f>
        <v>2846</v>
      </c>
      <c r="Q3639" s="1058"/>
      <c r="R3639" s="1063"/>
    </row>
    <row r="3640" spans="1:18" s="90" customFormat="1">
      <c r="A3640" s="1058"/>
      <c r="B3640" s="1065"/>
      <c r="C3640" s="1065"/>
      <c r="D3640" s="1065"/>
      <c r="E3640" s="1058"/>
      <c r="F3640" s="1073"/>
      <c r="G3640" s="1077"/>
      <c r="H3640" s="1067"/>
      <c r="I3640" s="1059"/>
      <c r="J3640" s="1068"/>
      <c r="K3640" s="1064"/>
      <c r="L3640" s="1069"/>
      <c r="M3640" s="1069"/>
      <c r="N3640" s="1069"/>
      <c r="O3640" s="1070"/>
      <c r="P3640" s="1071"/>
      <c r="Q3640" s="1058"/>
      <c r="R3640" s="1063"/>
    </row>
    <row r="3641" spans="1:18" s="90" customFormat="1">
      <c r="A3641" s="1058"/>
      <c r="B3641" s="1065"/>
      <c r="C3641" s="1065"/>
      <c r="D3641" s="1065"/>
      <c r="E3641" s="1058"/>
      <c r="F3641" s="1073"/>
      <c r="G3641" s="1077"/>
      <c r="H3641" s="1067"/>
      <c r="I3641" s="1059"/>
      <c r="J3641" s="1068"/>
      <c r="K3641" s="1064"/>
      <c r="L3641" s="1069"/>
      <c r="M3641" s="1069"/>
      <c r="N3641" s="1069"/>
      <c r="O3641" s="1070"/>
      <c r="P3641" s="1071"/>
      <c r="Q3641" s="1058"/>
      <c r="R3641" s="1063"/>
    </row>
    <row r="3642" spans="1:18" s="90" customFormat="1">
      <c r="A3642" s="1058"/>
      <c r="B3642" s="1065"/>
      <c r="C3642" s="1065"/>
      <c r="D3642" s="1065"/>
      <c r="E3642" s="1058"/>
      <c r="F3642" s="1073"/>
      <c r="G3642" s="1077"/>
      <c r="H3642" s="1067"/>
      <c r="I3642" s="1059"/>
      <c r="J3642" s="1068"/>
      <c r="K3642" s="1064"/>
      <c r="L3642" s="1069"/>
      <c r="M3642" s="1069"/>
      <c r="N3642" s="1069"/>
      <c r="O3642" s="1070"/>
      <c r="P3642" s="1071"/>
      <c r="Q3642" s="1058"/>
      <c r="R3642" s="1063"/>
    </row>
    <row r="3643" spans="1:18" s="90" customFormat="1">
      <c r="A3643" s="1058"/>
      <c r="B3643" s="1065"/>
      <c r="C3643" s="1065"/>
      <c r="D3643" s="1065"/>
      <c r="E3643" s="1058"/>
      <c r="F3643" s="1073"/>
      <c r="G3643" s="1077"/>
      <c r="H3643" s="1067"/>
      <c r="I3643" s="1059"/>
      <c r="J3643" s="1068"/>
      <c r="K3643" s="1064"/>
      <c r="L3643" s="1069"/>
      <c r="M3643" s="1069"/>
      <c r="N3643" s="1069"/>
      <c r="O3643" s="1070"/>
      <c r="P3643" s="1071"/>
      <c r="Q3643" s="1058"/>
      <c r="R3643" s="1063"/>
    </row>
    <row r="3644" spans="1:18" s="90" customFormat="1">
      <c r="A3644" s="1058"/>
      <c r="B3644" s="1065"/>
      <c r="C3644" s="1065"/>
      <c r="D3644" s="1065"/>
      <c r="E3644" s="1058"/>
      <c r="F3644" s="1073"/>
      <c r="G3644" s="1077"/>
      <c r="H3644" s="1067"/>
      <c r="I3644" s="1059"/>
      <c r="J3644" s="1068"/>
      <c r="K3644" s="1064"/>
      <c r="L3644" s="1069"/>
      <c r="M3644" s="1069"/>
      <c r="N3644" s="1069"/>
      <c r="O3644" s="1070"/>
      <c r="P3644" s="1071"/>
      <c r="Q3644" s="1058"/>
      <c r="R3644" s="1063"/>
    </row>
    <row r="3645" spans="1:18" s="90" customFormat="1">
      <c r="A3645" s="1058"/>
      <c r="B3645" s="1065"/>
      <c r="C3645" s="1065"/>
      <c r="D3645" s="1065"/>
      <c r="E3645" s="1058"/>
      <c r="F3645" s="1073"/>
      <c r="G3645" s="1077"/>
      <c r="H3645" s="1067"/>
      <c r="I3645" s="1059"/>
      <c r="J3645" s="1068"/>
      <c r="K3645" s="1064"/>
      <c r="L3645" s="1069"/>
      <c r="M3645" s="1069"/>
      <c r="N3645" s="1069"/>
      <c r="O3645" s="1070"/>
      <c r="P3645" s="1071"/>
      <c r="Q3645" s="1058"/>
      <c r="R3645" s="1063"/>
    </row>
    <row r="3646" spans="1:18" s="90" customFormat="1">
      <c r="A3646" s="1058"/>
      <c r="B3646" s="1065"/>
      <c r="C3646" s="1065"/>
      <c r="D3646" s="1065"/>
      <c r="E3646" s="1058"/>
      <c r="F3646" s="1073"/>
      <c r="G3646" s="1077"/>
      <c r="H3646" s="1067"/>
      <c r="I3646" s="1059"/>
      <c r="J3646" s="1068"/>
      <c r="K3646" s="1064"/>
      <c r="L3646" s="1069"/>
      <c r="M3646" s="1069"/>
      <c r="N3646" s="1069"/>
      <c r="O3646" s="1070"/>
      <c r="P3646" s="1071"/>
      <c r="Q3646" s="1058"/>
      <c r="R3646" s="1063"/>
    </row>
    <row r="3647" spans="1:18" s="90" customFormat="1">
      <c r="A3647" s="1058"/>
      <c r="B3647" s="1065"/>
      <c r="C3647" s="1065"/>
      <c r="D3647" s="1065"/>
      <c r="E3647" s="1058"/>
      <c r="F3647" s="1073"/>
      <c r="G3647" s="1077"/>
      <c r="H3647" s="1067"/>
      <c r="I3647" s="1059"/>
      <c r="J3647" s="1068"/>
      <c r="K3647" s="1064"/>
      <c r="L3647" s="1069"/>
      <c r="M3647" s="1069"/>
      <c r="N3647" s="1069"/>
      <c r="O3647" s="1070"/>
      <c r="P3647" s="1071"/>
      <c r="Q3647" s="1058"/>
      <c r="R3647" s="1063"/>
    </row>
    <row r="3648" spans="1:18" s="90" customFormat="1">
      <c r="A3648" s="1058"/>
      <c r="B3648" s="1065"/>
      <c r="C3648" s="1065"/>
      <c r="D3648" s="1065"/>
      <c r="E3648" s="1058"/>
      <c r="F3648" s="1073"/>
      <c r="G3648" s="1077"/>
      <c r="H3648" s="1067"/>
      <c r="I3648" s="1059"/>
      <c r="J3648" s="1068"/>
      <c r="K3648" s="1064"/>
      <c r="L3648" s="1069"/>
      <c r="M3648" s="1069"/>
      <c r="N3648" s="1069"/>
      <c r="O3648" s="1070"/>
      <c r="P3648" s="1071"/>
      <c r="Q3648" s="1058"/>
      <c r="R3648" s="1063"/>
    </row>
    <row r="3649" spans="1:18" s="90" customFormat="1">
      <c r="A3649" s="1058"/>
      <c r="B3649" s="1065"/>
      <c r="C3649" s="1065"/>
      <c r="D3649" s="1065"/>
      <c r="E3649" s="1058"/>
      <c r="F3649" s="1073"/>
      <c r="G3649" s="1077"/>
      <c r="H3649" s="1067"/>
      <c r="I3649" s="1059"/>
      <c r="J3649" s="1068"/>
      <c r="K3649" s="1064"/>
      <c r="L3649" s="1069"/>
      <c r="M3649" s="1069"/>
      <c r="N3649" s="1069"/>
      <c r="O3649" s="1070"/>
      <c r="P3649" s="1071"/>
      <c r="Q3649" s="1058"/>
      <c r="R3649" s="1063"/>
    </row>
    <row r="3650" spans="1:18" s="90" customFormat="1">
      <c r="A3650" s="1058"/>
      <c r="B3650" s="1065"/>
      <c r="C3650" s="1065"/>
      <c r="D3650" s="1065"/>
      <c r="E3650" s="1058"/>
      <c r="F3650" s="1073"/>
      <c r="G3650" s="1077"/>
      <c r="H3650" s="1067"/>
      <c r="I3650" s="1059"/>
      <c r="J3650" s="1068"/>
      <c r="K3650" s="1064"/>
      <c r="L3650" s="1069"/>
      <c r="M3650" s="1069"/>
      <c r="N3650" s="1069"/>
      <c r="O3650" s="1070"/>
      <c r="P3650" s="1071"/>
      <c r="Q3650" s="1058"/>
      <c r="R3650" s="1063"/>
    </row>
    <row r="3651" spans="1:18" s="90" customFormat="1">
      <c r="A3651" s="1058"/>
      <c r="B3651" s="1065"/>
      <c r="C3651" s="1065"/>
      <c r="D3651" s="1065"/>
      <c r="E3651" s="1058"/>
      <c r="F3651" s="1073"/>
      <c r="G3651" s="1077"/>
      <c r="H3651" s="1067"/>
      <c r="I3651" s="1059"/>
      <c r="J3651" s="1068"/>
      <c r="K3651" s="1064"/>
      <c r="L3651" s="1069"/>
      <c r="M3651" s="1069"/>
      <c r="N3651" s="1069"/>
      <c r="O3651" s="1070"/>
      <c r="P3651" s="1071"/>
      <c r="Q3651" s="1058"/>
      <c r="R3651" s="1063"/>
    </row>
    <row r="3652" spans="1:18" s="90" customFormat="1">
      <c r="A3652" s="1058"/>
      <c r="B3652" s="1065"/>
      <c r="C3652" s="1065"/>
      <c r="D3652" s="1065"/>
      <c r="E3652" s="1058"/>
      <c r="F3652" s="1073"/>
      <c r="G3652" s="1077"/>
      <c r="H3652" s="1067"/>
      <c r="I3652" s="1059"/>
      <c r="J3652" s="1068"/>
      <c r="K3652" s="1064"/>
      <c r="L3652" s="1069"/>
      <c r="M3652" s="1069"/>
      <c r="N3652" s="1069"/>
      <c r="O3652" s="1070"/>
      <c r="P3652" s="1071"/>
      <c r="Q3652" s="1058"/>
      <c r="R3652" s="1063"/>
    </row>
    <row r="3653" spans="1:18" s="90" customFormat="1">
      <c r="A3653" s="1058"/>
      <c r="B3653" s="1065"/>
      <c r="C3653" s="1065"/>
      <c r="D3653" s="1065"/>
      <c r="E3653" s="1058"/>
      <c r="F3653" s="1073"/>
      <c r="G3653" s="1077"/>
      <c r="H3653" s="1067"/>
      <c r="I3653" s="1059"/>
      <c r="J3653" s="1068"/>
      <c r="K3653" s="1064"/>
      <c r="L3653" s="1069"/>
      <c r="M3653" s="1069"/>
      <c r="N3653" s="1069"/>
      <c r="O3653" s="1070"/>
      <c r="P3653" s="1071"/>
      <c r="Q3653" s="1058"/>
      <c r="R3653" s="1063"/>
    </row>
    <row r="3654" spans="1:18" s="90" customFormat="1">
      <c r="A3654" s="1058"/>
      <c r="B3654" s="1065"/>
      <c r="C3654" s="1065"/>
      <c r="D3654" s="1065"/>
      <c r="E3654" s="1058"/>
      <c r="F3654" s="1073"/>
      <c r="G3654" s="1077"/>
      <c r="H3654" s="1067"/>
      <c r="I3654" s="1059"/>
      <c r="J3654" s="1068"/>
      <c r="K3654" s="1064"/>
      <c r="L3654" s="1069"/>
      <c r="M3654" s="1069"/>
      <c r="N3654" s="1069"/>
      <c r="O3654" s="1070"/>
      <c r="P3654" s="1071"/>
      <c r="Q3654" s="1058"/>
      <c r="R3654" s="1063"/>
    </row>
    <row r="3655" spans="1:18" s="90" customFormat="1">
      <c r="A3655" s="1058"/>
      <c r="B3655" s="1065"/>
      <c r="C3655" s="1065"/>
      <c r="D3655" s="1065"/>
      <c r="E3655" s="1058"/>
      <c r="F3655" s="1073"/>
      <c r="G3655" s="1077"/>
      <c r="H3655" s="1067"/>
      <c r="I3655" s="1059"/>
      <c r="J3655" s="1068"/>
      <c r="K3655" s="1064"/>
      <c r="L3655" s="1069"/>
      <c r="M3655" s="1069"/>
      <c r="N3655" s="1069"/>
      <c r="O3655" s="1070"/>
      <c r="P3655" s="1071"/>
      <c r="Q3655" s="1058"/>
      <c r="R3655" s="1063"/>
    </row>
    <row r="3656" spans="1:18" s="90" customFormat="1">
      <c r="A3656" s="1058"/>
      <c r="B3656" s="1065"/>
      <c r="C3656" s="1065"/>
      <c r="D3656" s="1065"/>
      <c r="E3656" s="1058"/>
      <c r="F3656" s="1073"/>
      <c r="G3656" s="1077"/>
      <c r="H3656" s="1067"/>
      <c r="I3656" s="1059"/>
      <c r="J3656" s="1068"/>
      <c r="K3656" s="1064"/>
      <c r="L3656" s="1069"/>
      <c r="M3656" s="1069"/>
      <c r="N3656" s="1069"/>
      <c r="O3656" s="1070"/>
      <c r="P3656" s="1071"/>
      <c r="Q3656" s="1058"/>
      <c r="R3656" s="1063"/>
    </row>
    <row r="3657" spans="1:18" s="90" customFormat="1">
      <c r="A3657" s="1058"/>
      <c r="B3657" s="1065"/>
      <c r="C3657" s="1065"/>
      <c r="D3657" s="1065"/>
      <c r="E3657" s="1058"/>
      <c r="F3657" s="1073"/>
      <c r="G3657" s="1077"/>
      <c r="H3657" s="1067"/>
      <c r="I3657" s="1059"/>
      <c r="J3657" s="1068"/>
      <c r="K3657" s="1064"/>
      <c r="L3657" s="1069"/>
      <c r="M3657" s="1069"/>
      <c r="N3657" s="1069"/>
      <c r="O3657" s="1070"/>
      <c r="P3657" s="1071"/>
      <c r="Q3657" s="1058"/>
      <c r="R3657" s="1063"/>
    </row>
    <row r="3658" spans="1:18" s="90" customFormat="1">
      <c r="A3658" s="1058"/>
      <c r="B3658" s="1065"/>
      <c r="C3658" s="1065"/>
      <c r="D3658" s="1065"/>
      <c r="E3658" s="1058"/>
      <c r="F3658" s="1073"/>
      <c r="G3658" s="1077"/>
      <c r="H3658" s="1067"/>
      <c r="I3658" s="1059"/>
      <c r="J3658" s="1068"/>
      <c r="K3658" s="1064"/>
      <c r="L3658" s="1069"/>
      <c r="M3658" s="1069"/>
      <c r="N3658" s="1069"/>
      <c r="O3658" s="1070"/>
      <c r="P3658" s="1071"/>
      <c r="Q3658" s="1058"/>
      <c r="R3658" s="1063"/>
    </row>
    <row r="3659" spans="1:18" s="90" customFormat="1">
      <c r="A3659" s="1058"/>
      <c r="B3659" s="1065"/>
      <c r="C3659" s="1065"/>
      <c r="D3659" s="1065"/>
      <c r="E3659" s="1058"/>
      <c r="F3659" s="1073"/>
      <c r="G3659" s="1077"/>
      <c r="H3659" s="1067"/>
      <c r="I3659" s="1059"/>
      <c r="J3659" s="1068"/>
      <c r="K3659" s="1064"/>
      <c r="L3659" s="1069"/>
      <c r="M3659" s="1069"/>
      <c r="N3659" s="1069"/>
      <c r="O3659" s="1070"/>
      <c r="P3659" s="1071"/>
      <c r="Q3659" s="1058"/>
      <c r="R3659" s="1063"/>
    </row>
    <row r="3660" spans="1:18" s="90" customFormat="1">
      <c r="A3660" s="1058"/>
      <c r="B3660" s="1065"/>
      <c r="C3660" s="1065"/>
      <c r="D3660" s="1065"/>
      <c r="E3660" s="1058"/>
      <c r="F3660" s="1073"/>
      <c r="G3660" s="1077"/>
      <c r="H3660" s="1067"/>
      <c r="I3660" s="1059"/>
      <c r="J3660" s="1068"/>
      <c r="K3660" s="1064"/>
      <c r="L3660" s="1069"/>
      <c r="M3660" s="1069"/>
      <c r="N3660" s="1069"/>
      <c r="O3660" s="1070"/>
      <c r="P3660" s="1071"/>
      <c r="Q3660" s="1058"/>
      <c r="R3660" s="1063"/>
    </row>
    <row r="3661" spans="1:18" s="90" customFormat="1">
      <c r="A3661" s="1058"/>
      <c r="B3661" s="1065"/>
      <c r="C3661" s="1065"/>
      <c r="D3661" s="1065"/>
      <c r="E3661" s="1058"/>
      <c r="F3661" s="1073"/>
      <c r="G3661" s="1077"/>
      <c r="H3661" s="1067"/>
      <c r="I3661" s="1059"/>
      <c r="J3661" s="1068"/>
      <c r="K3661" s="1064"/>
      <c r="L3661" s="1069"/>
      <c r="M3661" s="1069"/>
      <c r="N3661" s="1069"/>
      <c r="O3661" s="1070"/>
      <c r="P3661" s="1071"/>
      <c r="Q3661" s="1058"/>
      <c r="R3661" s="1063"/>
    </row>
    <row r="3662" spans="1:18" s="90" customFormat="1">
      <c r="A3662" s="1058"/>
      <c r="B3662" s="1065"/>
      <c r="C3662" s="1065"/>
      <c r="D3662" s="1065"/>
      <c r="E3662" s="1058"/>
      <c r="F3662" s="1073"/>
      <c r="G3662" s="1077"/>
      <c r="H3662" s="1067"/>
      <c r="I3662" s="1059"/>
      <c r="J3662" s="1068"/>
      <c r="K3662" s="1064"/>
      <c r="L3662" s="1069"/>
      <c r="M3662" s="1069"/>
      <c r="N3662" s="1069"/>
      <c r="O3662" s="1070"/>
      <c r="P3662" s="1071"/>
      <c r="Q3662" s="1058"/>
      <c r="R3662" s="1063"/>
    </row>
    <row r="3663" spans="1:18" s="90" customFormat="1">
      <c r="A3663" s="1058"/>
      <c r="B3663" s="1065"/>
      <c r="C3663" s="1065"/>
      <c r="D3663" s="1065"/>
      <c r="E3663" s="1058"/>
      <c r="F3663" s="1073"/>
      <c r="G3663" s="1077"/>
      <c r="H3663" s="1067"/>
      <c r="I3663" s="1059"/>
      <c r="J3663" s="1068"/>
      <c r="K3663" s="1064"/>
      <c r="L3663" s="1069"/>
      <c r="M3663" s="1069"/>
      <c r="N3663" s="1069"/>
      <c r="O3663" s="1070"/>
      <c r="P3663" s="1071"/>
      <c r="Q3663" s="1058"/>
      <c r="R3663" s="1063"/>
    </row>
    <row r="3664" spans="1:18" s="90" customFormat="1">
      <c r="A3664" s="1058"/>
      <c r="B3664" s="1065"/>
      <c r="C3664" s="1065"/>
      <c r="D3664" s="1065"/>
      <c r="E3664" s="1058"/>
      <c r="F3664" s="1073"/>
      <c r="G3664" s="1077"/>
      <c r="H3664" s="1067"/>
      <c r="I3664" s="1059"/>
      <c r="J3664" s="1068"/>
      <c r="K3664" s="1064"/>
      <c r="L3664" s="1069"/>
      <c r="M3664" s="1069"/>
      <c r="N3664" s="1069"/>
      <c r="O3664" s="1070"/>
      <c r="P3664" s="1071"/>
      <c r="Q3664" s="1058"/>
      <c r="R3664" s="1063"/>
    </row>
    <row r="3665" spans="1:18" s="90" customFormat="1">
      <c r="A3665" s="1058"/>
      <c r="B3665" s="1065"/>
      <c r="C3665" s="1065"/>
      <c r="D3665" s="1065"/>
      <c r="E3665" s="1058"/>
      <c r="F3665" s="1073"/>
      <c r="G3665" s="1077"/>
      <c r="H3665" s="1067"/>
      <c r="I3665" s="1059"/>
      <c r="J3665" s="1068"/>
      <c r="K3665" s="1064"/>
      <c r="L3665" s="1069"/>
      <c r="M3665" s="1069"/>
      <c r="N3665" s="1069"/>
      <c r="O3665" s="1070"/>
      <c r="P3665" s="1071"/>
      <c r="Q3665" s="1058"/>
      <c r="R3665" s="1063"/>
    </row>
    <row r="3666" spans="1:18" s="90" customFormat="1">
      <c r="A3666" s="1058"/>
      <c r="B3666" s="1065"/>
      <c r="C3666" s="1065"/>
      <c r="D3666" s="1065"/>
      <c r="E3666" s="1058"/>
      <c r="F3666" s="1073"/>
      <c r="G3666" s="1077"/>
      <c r="H3666" s="1067"/>
      <c r="I3666" s="1059"/>
      <c r="J3666" s="1068"/>
      <c r="K3666" s="1064"/>
      <c r="L3666" s="1069"/>
      <c r="M3666" s="1069"/>
      <c r="N3666" s="1069"/>
      <c r="O3666" s="1070"/>
      <c r="P3666" s="1071"/>
      <c r="Q3666" s="1058"/>
      <c r="R3666" s="1063"/>
    </row>
    <row r="3667" spans="1:18" s="90" customFormat="1">
      <c r="A3667" s="1058"/>
      <c r="B3667" s="1065"/>
      <c r="C3667" s="1065"/>
      <c r="D3667" s="1065"/>
      <c r="E3667" s="1058"/>
      <c r="F3667" s="1073"/>
      <c r="G3667" s="1077"/>
      <c r="H3667" s="1067"/>
      <c r="I3667" s="1059"/>
      <c r="J3667" s="1068"/>
      <c r="K3667" s="1064"/>
      <c r="L3667" s="1069"/>
      <c r="M3667" s="1069"/>
      <c r="N3667" s="1069"/>
      <c r="O3667" s="1070"/>
      <c r="P3667" s="1071"/>
      <c r="Q3667" s="1058"/>
      <c r="R3667" s="1063"/>
    </row>
    <row r="3668" spans="1:18" s="90" customFormat="1">
      <c r="A3668" s="1058"/>
      <c r="B3668" s="1065"/>
      <c r="C3668" s="1065"/>
      <c r="D3668" s="1065"/>
      <c r="E3668" s="1058"/>
      <c r="F3668" s="1073"/>
      <c r="G3668" s="1077"/>
      <c r="H3668" s="1067"/>
      <c r="I3668" s="1059"/>
      <c r="J3668" s="1068"/>
      <c r="K3668" s="1064"/>
      <c r="L3668" s="1069"/>
      <c r="M3668" s="1069"/>
      <c r="N3668" s="1069"/>
      <c r="O3668" s="1070"/>
      <c r="P3668" s="1071"/>
      <c r="Q3668" s="1058"/>
      <c r="R3668" s="1063"/>
    </row>
    <row r="3669" spans="1:18" s="90" customFormat="1">
      <c r="A3669" s="1058"/>
      <c r="B3669" s="1065"/>
      <c r="C3669" s="1065"/>
      <c r="D3669" s="1065"/>
      <c r="E3669" s="1058"/>
      <c r="F3669" s="1073"/>
      <c r="G3669" s="1077"/>
      <c r="H3669" s="1067"/>
      <c r="I3669" s="1059"/>
      <c r="J3669" s="1068"/>
      <c r="K3669" s="1064"/>
      <c r="L3669" s="1069"/>
      <c r="M3669" s="1069"/>
      <c r="N3669" s="1069"/>
      <c r="O3669" s="1070"/>
      <c r="P3669" s="1071"/>
      <c r="Q3669" s="1058"/>
      <c r="R3669" s="1063"/>
    </row>
    <row r="3670" spans="1:18" s="90" customFormat="1">
      <c r="A3670" s="1058"/>
      <c r="B3670" s="1065"/>
      <c r="C3670" s="1065"/>
      <c r="D3670" s="1065"/>
      <c r="E3670" s="1058"/>
      <c r="F3670" s="1073"/>
      <c r="G3670" s="1077"/>
      <c r="H3670" s="1067"/>
      <c r="I3670" s="1059"/>
      <c r="J3670" s="1068"/>
      <c r="K3670" s="1064"/>
      <c r="L3670" s="1069"/>
      <c r="M3670" s="1069"/>
      <c r="N3670" s="1069"/>
      <c r="O3670" s="1070"/>
      <c r="P3670" s="1071"/>
      <c r="Q3670" s="1058"/>
      <c r="R3670" s="1063"/>
    </row>
    <row r="3671" spans="1:18" s="90" customFormat="1">
      <c r="A3671" s="1058"/>
      <c r="B3671" s="1065"/>
      <c r="C3671" s="1065"/>
      <c r="D3671" s="1065"/>
      <c r="E3671" s="1058"/>
      <c r="F3671" s="1073"/>
      <c r="G3671" s="1077"/>
      <c r="H3671" s="1067"/>
      <c r="I3671" s="1059"/>
      <c r="J3671" s="1068"/>
      <c r="K3671" s="1064"/>
      <c r="L3671" s="1069"/>
      <c r="M3671" s="1069"/>
      <c r="N3671" s="1069"/>
      <c r="O3671" s="1070"/>
      <c r="P3671" s="1071"/>
      <c r="Q3671" s="1058"/>
      <c r="R3671" s="1063"/>
    </row>
    <row r="3672" spans="1:18" s="90" customFormat="1">
      <c r="A3672" s="1058"/>
      <c r="B3672" s="1065"/>
      <c r="C3672" s="1065"/>
      <c r="D3672" s="1065"/>
      <c r="E3672" s="1058"/>
      <c r="F3672" s="1073"/>
      <c r="G3672" s="1077"/>
      <c r="H3672" s="1067"/>
      <c r="I3672" s="1059"/>
      <c r="J3672" s="1068"/>
      <c r="K3672" s="1064"/>
      <c r="L3672" s="1069"/>
      <c r="M3672" s="1069"/>
      <c r="N3672" s="1069"/>
      <c r="O3672" s="1070"/>
      <c r="P3672" s="1071"/>
      <c r="Q3672" s="1058"/>
      <c r="R3672" s="1063"/>
    </row>
    <row r="3673" spans="1:18" s="90" customFormat="1">
      <c r="A3673" s="1058"/>
      <c r="B3673" s="1065"/>
      <c r="C3673" s="1065"/>
      <c r="D3673" s="1065"/>
      <c r="E3673" s="1058"/>
      <c r="F3673" s="1073"/>
      <c r="G3673" s="1077"/>
      <c r="H3673" s="1067"/>
      <c r="I3673" s="1059"/>
      <c r="J3673" s="1068"/>
      <c r="K3673" s="1064"/>
      <c r="L3673" s="1069"/>
      <c r="M3673" s="1069"/>
      <c r="N3673" s="1069"/>
      <c r="O3673" s="1070"/>
      <c r="P3673" s="1071"/>
      <c r="Q3673" s="1058"/>
      <c r="R3673" s="1063"/>
    </row>
    <row r="3674" spans="1:18" s="90" customFormat="1">
      <c r="A3674" s="1058"/>
      <c r="B3674" s="1065"/>
      <c r="C3674" s="1065"/>
      <c r="D3674" s="1065"/>
      <c r="E3674" s="1058"/>
      <c r="F3674" s="1073"/>
      <c r="G3674" s="1077"/>
      <c r="H3674" s="1067"/>
      <c r="I3674" s="1059"/>
      <c r="J3674" s="1068"/>
      <c r="K3674" s="1064"/>
      <c r="L3674" s="1069"/>
      <c r="M3674" s="1069"/>
      <c r="N3674" s="1069"/>
      <c r="O3674" s="1070"/>
      <c r="P3674" s="1071"/>
      <c r="Q3674" s="1058"/>
      <c r="R3674" s="1063"/>
    </row>
    <row r="3675" spans="1:18" s="90" customFormat="1">
      <c r="A3675" s="1058"/>
      <c r="B3675" s="1065"/>
      <c r="C3675" s="1065"/>
      <c r="D3675" s="1065"/>
      <c r="E3675" s="1058"/>
      <c r="F3675" s="1073"/>
      <c r="G3675" s="1077"/>
      <c r="H3675" s="1067"/>
      <c r="I3675" s="1059"/>
      <c r="J3675" s="1068"/>
      <c r="K3675" s="1064"/>
      <c r="L3675" s="1069"/>
      <c r="M3675" s="1069"/>
      <c r="N3675" s="1069"/>
      <c r="O3675" s="1070"/>
      <c r="P3675" s="1071"/>
      <c r="Q3675" s="1058"/>
      <c r="R3675" s="1063"/>
    </row>
    <row r="3676" spans="1:18" s="90" customFormat="1">
      <c r="A3676" s="1058"/>
      <c r="B3676" s="1065"/>
      <c r="C3676" s="1065"/>
      <c r="D3676" s="1065"/>
      <c r="E3676" s="1058"/>
      <c r="F3676" s="1073"/>
      <c r="G3676" s="1077"/>
      <c r="H3676" s="1067"/>
      <c r="I3676" s="1059"/>
      <c r="J3676" s="1068"/>
      <c r="K3676" s="1064"/>
      <c r="L3676" s="1069"/>
      <c r="M3676" s="1069"/>
      <c r="N3676" s="1069"/>
      <c r="O3676" s="1070"/>
      <c r="P3676" s="1071"/>
      <c r="Q3676" s="1058"/>
      <c r="R3676" s="1063"/>
    </row>
    <row r="3677" spans="1:18" s="90" customFormat="1">
      <c r="A3677" s="1058"/>
      <c r="B3677" s="1065"/>
      <c r="C3677" s="1065"/>
      <c r="D3677" s="1065"/>
      <c r="E3677" s="1058"/>
      <c r="F3677" s="1073"/>
      <c r="G3677" s="1077"/>
      <c r="H3677" s="1067"/>
      <c r="I3677" s="1059"/>
      <c r="J3677" s="1068"/>
      <c r="K3677" s="1064"/>
      <c r="L3677" s="1069"/>
      <c r="M3677" s="1069"/>
      <c r="N3677" s="1069"/>
      <c r="O3677" s="1070"/>
      <c r="P3677" s="1071"/>
      <c r="Q3677" s="1058"/>
      <c r="R3677" s="1063"/>
    </row>
    <row r="3678" spans="1:18" s="90" customFormat="1">
      <c r="A3678" s="1058"/>
      <c r="B3678" s="1065"/>
      <c r="C3678" s="1065"/>
      <c r="D3678" s="1065"/>
      <c r="E3678" s="1058"/>
      <c r="F3678" s="1073"/>
      <c r="G3678" s="1077"/>
      <c r="H3678" s="1067"/>
      <c r="I3678" s="1059"/>
      <c r="J3678" s="1068"/>
      <c r="K3678" s="1064"/>
      <c r="L3678" s="1069"/>
      <c r="M3678" s="1069"/>
      <c r="N3678" s="1069"/>
      <c r="O3678" s="1070"/>
      <c r="P3678" s="1071"/>
      <c r="Q3678" s="1058"/>
      <c r="R3678" s="1063"/>
    </row>
    <row r="3679" spans="1:18" s="90" customFormat="1">
      <c r="A3679" s="1058"/>
      <c r="B3679" s="1065"/>
      <c r="C3679" s="1065"/>
      <c r="D3679" s="1065"/>
      <c r="E3679" s="1058"/>
      <c r="F3679" s="1073"/>
      <c r="G3679" s="1077"/>
      <c r="H3679" s="1067"/>
      <c r="I3679" s="1059"/>
      <c r="J3679" s="1068"/>
      <c r="K3679" s="1064"/>
      <c r="L3679" s="1069"/>
      <c r="M3679" s="1069"/>
      <c r="N3679" s="1069"/>
      <c r="O3679" s="1070"/>
      <c r="P3679" s="1071"/>
      <c r="Q3679" s="1058"/>
      <c r="R3679" s="1063"/>
    </row>
    <row r="3680" spans="1:18" s="90" customFormat="1">
      <c r="A3680" s="1058"/>
      <c r="B3680" s="1065"/>
      <c r="C3680" s="1065"/>
      <c r="D3680" s="1065"/>
      <c r="E3680" s="1058"/>
      <c r="F3680" s="1073"/>
      <c r="G3680" s="1077"/>
      <c r="H3680" s="1067"/>
      <c r="I3680" s="1059"/>
      <c r="J3680" s="1068"/>
      <c r="K3680" s="1064"/>
      <c r="L3680" s="1069"/>
      <c r="M3680" s="1069"/>
      <c r="N3680" s="1069"/>
      <c r="O3680" s="1070"/>
      <c r="P3680" s="1071"/>
      <c r="Q3680" s="1058"/>
      <c r="R3680" s="1063"/>
    </row>
    <row r="3681" spans="1:18" s="90" customFormat="1">
      <c r="A3681" s="1058"/>
      <c r="B3681" s="1065"/>
      <c r="C3681" s="1065"/>
      <c r="D3681" s="1065"/>
      <c r="E3681" s="1058"/>
      <c r="F3681" s="1073"/>
      <c r="G3681" s="1077"/>
      <c r="H3681" s="1067"/>
      <c r="I3681" s="1059"/>
      <c r="J3681" s="1068"/>
      <c r="K3681" s="1064"/>
      <c r="L3681" s="1069"/>
      <c r="M3681" s="1069"/>
      <c r="N3681" s="1069"/>
      <c r="O3681" s="1070"/>
      <c r="P3681" s="1071"/>
      <c r="Q3681" s="1058"/>
      <c r="R3681" s="1063"/>
    </row>
    <row r="3682" spans="1:18" s="90" customFormat="1">
      <c r="A3682" s="1058"/>
      <c r="B3682" s="1065"/>
      <c r="C3682" s="1065"/>
      <c r="D3682" s="1065"/>
      <c r="E3682" s="1058"/>
      <c r="F3682" s="1073"/>
      <c r="G3682" s="1077"/>
      <c r="H3682" s="1067"/>
      <c r="I3682" s="1059"/>
      <c r="J3682" s="1068"/>
      <c r="K3682" s="1064"/>
      <c r="L3682" s="1069"/>
      <c r="M3682" s="1069"/>
      <c r="N3682" s="1069"/>
      <c r="O3682" s="1070"/>
      <c r="P3682" s="1071"/>
      <c r="Q3682" s="1058"/>
      <c r="R3682" s="1063"/>
    </row>
    <row r="3683" spans="1:18" s="90" customFormat="1">
      <c r="A3683" s="1058"/>
      <c r="B3683" s="1065"/>
      <c r="C3683" s="1065"/>
      <c r="D3683" s="1065"/>
      <c r="E3683" s="1058"/>
      <c r="F3683" s="1073"/>
      <c r="G3683" s="1077"/>
      <c r="H3683" s="1067"/>
      <c r="I3683" s="1059"/>
      <c r="J3683" s="1068"/>
      <c r="K3683" s="1064"/>
      <c r="L3683" s="1069"/>
      <c r="M3683" s="1069"/>
      <c r="N3683" s="1069"/>
      <c r="O3683" s="1070"/>
      <c r="P3683" s="1071"/>
      <c r="Q3683" s="1058"/>
      <c r="R3683" s="1063"/>
    </row>
    <row r="3684" spans="1:18" s="90" customFormat="1">
      <c r="A3684" s="1058"/>
      <c r="B3684" s="1065"/>
      <c r="C3684" s="1065"/>
      <c r="D3684" s="1065"/>
      <c r="E3684" s="1058"/>
      <c r="F3684" s="1073"/>
      <c r="G3684" s="1077"/>
      <c r="H3684" s="1067"/>
      <c r="I3684" s="1059"/>
      <c r="J3684" s="1068"/>
      <c r="K3684" s="1064"/>
      <c r="L3684" s="1069"/>
      <c r="M3684" s="1069"/>
      <c r="N3684" s="1069"/>
      <c r="O3684" s="1070"/>
      <c r="P3684" s="1071"/>
      <c r="Q3684" s="1058"/>
      <c r="R3684" s="1063"/>
    </row>
    <row r="3685" spans="1:18" s="90" customFormat="1">
      <c r="A3685" s="1058"/>
      <c r="B3685" s="1065"/>
      <c r="C3685" s="1065"/>
      <c r="D3685" s="1065"/>
      <c r="E3685" s="1058"/>
      <c r="F3685" s="1073"/>
      <c r="G3685" s="1077"/>
      <c r="H3685" s="1067"/>
      <c r="I3685" s="1059"/>
      <c r="J3685" s="1068"/>
      <c r="K3685" s="1064"/>
      <c r="L3685" s="1069"/>
      <c r="M3685" s="1069"/>
      <c r="N3685" s="1069"/>
      <c r="O3685" s="1070"/>
      <c r="P3685" s="1071"/>
      <c r="Q3685" s="1058"/>
      <c r="R3685" s="1063"/>
    </row>
    <row r="3686" spans="1:18" s="90" customFormat="1">
      <c r="A3686" s="1058"/>
      <c r="B3686" s="1065"/>
      <c r="C3686" s="1065"/>
      <c r="D3686" s="1065"/>
      <c r="E3686" s="1058"/>
      <c r="F3686" s="1073"/>
      <c r="G3686" s="1077"/>
      <c r="H3686" s="1067"/>
      <c r="I3686" s="1059"/>
      <c r="J3686" s="1068"/>
      <c r="K3686" s="1064"/>
      <c r="L3686" s="1069"/>
      <c r="M3686" s="1069"/>
      <c r="N3686" s="1069"/>
      <c r="O3686" s="1070"/>
      <c r="P3686" s="1071"/>
      <c r="Q3686" s="1058"/>
      <c r="R3686" s="1063"/>
    </row>
    <row r="3687" spans="1:18" s="90" customFormat="1">
      <c r="A3687" s="1058"/>
      <c r="B3687" s="1065"/>
      <c r="C3687" s="1065"/>
      <c r="D3687" s="1065"/>
      <c r="E3687" s="1058"/>
      <c r="F3687" s="1073"/>
      <c r="G3687" s="1077"/>
      <c r="H3687" s="1067"/>
      <c r="I3687" s="1059"/>
      <c r="J3687" s="1068"/>
      <c r="K3687" s="1064"/>
      <c r="L3687" s="1069"/>
      <c r="M3687" s="1069"/>
      <c r="N3687" s="1069"/>
      <c r="O3687" s="1070"/>
      <c r="P3687" s="1071"/>
      <c r="Q3687" s="1058"/>
      <c r="R3687" s="1063"/>
    </row>
    <row r="3688" spans="1:18" s="90" customFormat="1">
      <c r="A3688" s="1058"/>
      <c r="B3688" s="1065"/>
      <c r="C3688" s="1065"/>
      <c r="D3688" s="1065"/>
      <c r="E3688" s="1058"/>
      <c r="F3688" s="1073"/>
      <c r="G3688" s="1077"/>
      <c r="H3688" s="1067"/>
      <c r="I3688" s="1059"/>
      <c r="J3688" s="1068"/>
      <c r="K3688" s="1064"/>
      <c r="L3688" s="1069"/>
      <c r="M3688" s="1069"/>
      <c r="N3688" s="1069"/>
      <c r="O3688" s="1070"/>
      <c r="P3688" s="1071"/>
      <c r="Q3688" s="1058"/>
      <c r="R3688" s="1063"/>
    </row>
    <row r="3689" spans="1:18" s="90" customFormat="1">
      <c r="A3689" s="1058"/>
      <c r="B3689" s="1065"/>
      <c r="C3689" s="1065"/>
      <c r="D3689" s="1065"/>
      <c r="E3689" s="1058"/>
      <c r="F3689" s="1073"/>
      <c r="G3689" s="1077"/>
      <c r="H3689" s="1067"/>
      <c r="I3689" s="1059"/>
      <c r="J3689" s="1068"/>
      <c r="K3689" s="1064"/>
      <c r="L3689" s="1069"/>
      <c r="M3689" s="1069"/>
      <c r="N3689" s="1069"/>
      <c r="O3689" s="1070"/>
      <c r="P3689" s="1071"/>
      <c r="Q3689" s="1058"/>
      <c r="R3689" s="1063"/>
    </row>
    <row r="3690" spans="1:18" s="90" customFormat="1">
      <c r="A3690" s="1058"/>
      <c r="B3690" s="1065"/>
      <c r="C3690" s="1065"/>
      <c r="D3690" s="1065"/>
      <c r="E3690" s="1058"/>
      <c r="F3690" s="1073"/>
      <c r="G3690" s="1077"/>
      <c r="H3690" s="1067"/>
      <c r="I3690" s="1059"/>
      <c r="J3690" s="1068"/>
      <c r="K3690" s="1064"/>
      <c r="L3690" s="1069"/>
      <c r="M3690" s="1069"/>
      <c r="N3690" s="1069"/>
      <c r="O3690" s="1070"/>
      <c r="P3690" s="1071"/>
      <c r="Q3690" s="1058"/>
      <c r="R3690" s="1063"/>
    </row>
    <row r="3691" spans="1:18" s="90" customFormat="1">
      <c r="A3691" s="1058"/>
      <c r="B3691" s="1065"/>
      <c r="C3691" s="1065"/>
      <c r="D3691" s="1065"/>
      <c r="E3691" s="1058"/>
      <c r="F3691" s="1073"/>
      <c r="G3691" s="1077"/>
      <c r="H3691" s="1067"/>
      <c r="I3691" s="1059"/>
      <c r="J3691" s="1068"/>
      <c r="K3691" s="1064"/>
      <c r="L3691" s="1069"/>
      <c r="M3691" s="1069"/>
      <c r="N3691" s="1069"/>
      <c r="O3691" s="1070"/>
      <c r="P3691" s="1071"/>
      <c r="Q3691" s="1058"/>
      <c r="R3691" s="1063"/>
    </row>
    <row r="3692" spans="1:18" s="90" customFormat="1">
      <c r="A3692" s="1058"/>
      <c r="B3692" s="1065"/>
      <c r="C3692" s="1065"/>
      <c r="D3692" s="1065"/>
      <c r="E3692" s="1058"/>
      <c r="F3692" s="1073"/>
      <c r="G3692" s="1077"/>
      <c r="H3692" s="1067"/>
      <c r="I3692" s="1059"/>
      <c r="J3692" s="1068"/>
      <c r="K3692" s="1064"/>
      <c r="L3692" s="1069"/>
      <c r="M3692" s="1069"/>
      <c r="N3692" s="1069"/>
      <c r="O3692" s="1070"/>
      <c r="P3692" s="1071"/>
      <c r="Q3692" s="1058"/>
      <c r="R3692" s="1063"/>
    </row>
    <row r="3693" spans="1:18" s="90" customFormat="1">
      <c r="A3693" s="1058"/>
      <c r="B3693" s="1065"/>
      <c r="C3693" s="1065"/>
      <c r="D3693" s="1065"/>
      <c r="E3693" s="1058"/>
      <c r="F3693" s="1073"/>
      <c r="G3693" s="1077"/>
      <c r="H3693" s="1067"/>
      <c r="I3693" s="1059"/>
      <c r="J3693" s="1068"/>
      <c r="K3693" s="1064"/>
      <c r="L3693" s="1069"/>
      <c r="M3693" s="1069"/>
      <c r="N3693" s="1069"/>
      <c r="O3693" s="1070"/>
      <c r="P3693" s="1071"/>
      <c r="Q3693" s="1058"/>
      <c r="R3693" s="1063"/>
    </row>
    <row r="3694" spans="1:18" s="90" customFormat="1">
      <c r="A3694" s="1058"/>
      <c r="B3694" s="1065"/>
      <c r="C3694" s="1065"/>
      <c r="D3694" s="1065"/>
      <c r="E3694" s="1058"/>
      <c r="F3694" s="1073"/>
      <c r="G3694" s="1077"/>
      <c r="H3694" s="1067"/>
      <c r="I3694" s="1059"/>
      <c r="J3694" s="1068"/>
      <c r="K3694" s="1064"/>
      <c r="L3694" s="1069"/>
      <c r="M3694" s="1069"/>
      <c r="N3694" s="1069"/>
      <c r="O3694" s="1070"/>
      <c r="P3694" s="1071"/>
      <c r="Q3694" s="1058"/>
      <c r="R3694" s="1063"/>
    </row>
    <row r="3695" spans="1:18" s="90" customFormat="1">
      <c r="A3695" s="1058"/>
      <c r="B3695" s="1065"/>
      <c r="C3695" s="1065"/>
      <c r="D3695" s="1065"/>
      <c r="E3695" s="1058"/>
      <c r="F3695" s="1073"/>
      <c r="G3695" s="1077"/>
      <c r="H3695" s="1067"/>
      <c r="I3695" s="1059"/>
      <c r="J3695" s="1068"/>
      <c r="K3695" s="1064"/>
      <c r="L3695" s="1069"/>
      <c r="M3695" s="1069"/>
      <c r="N3695" s="1069"/>
      <c r="O3695" s="1070"/>
      <c r="P3695" s="1071"/>
      <c r="Q3695" s="1058"/>
      <c r="R3695" s="1063"/>
    </row>
    <row r="3696" spans="1:18" s="90" customFormat="1">
      <c r="A3696" s="1058"/>
      <c r="B3696" s="1065"/>
      <c r="C3696" s="1065"/>
      <c r="D3696" s="1065"/>
      <c r="E3696" s="1058"/>
      <c r="F3696" s="1073"/>
      <c r="G3696" s="1077"/>
      <c r="H3696" s="1067"/>
      <c r="I3696" s="1059"/>
      <c r="J3696" s="1068"/>
      <c r="K3696" s="1064"/>
      <c r="L3696" s="1069"/>
      <c r="M3696" s="1069"/>
      <c r="N3696" s="1069"/>
      <c r="O3696" s="1070"/>
      <c r="P3696" s="1071"/>
      <c r="Q3696" s="1058"/>
      <c r="R3696" s="1063"/>
    </row>
    <row r="3697" spans="1:18" s="90" customFormat="1">
      <c r="A3697" s="1058"/>
      <c r="B3697" s="1065"/>
      <c r="C3697" s="1065"/>
      <c r="D3697" s="1065"/>
      <c r="E3697" s="1058"/>
      <c r="F3697" s="1073"/>
      <c r="G3697" s="1077"/>
      <c r="H3697" s="1067"/>
      <c r="I3697" s="1059"/>
      <c r="J3697" s="1068"/>
      <c r="K3697" s="1064"/>
      <c r="L3697" s="1069"/>
      <c r="M3697" s="1069"/>
      <c r="N3697" s="1069"/>
      <c r="O3697" s="1070"/>
      <c r="P3697" s="1071"/>
      <c r="Q3697" s="1058"/>
      <c r="R3697" s="1063"/>
    </row>
    <row r="3698" spans="1:18" s="90" customFormat="1">
      <c r="A3698" s="1058"/>
      <c r="B3698" s="1065"/>
      <c r="C3698" s="1065"/>
      <c r="D3698" s="1065"/>
      <c r="E3698" s="1058"/>
      <c r="F3698" s="1073"/>
      <c r="G3698" s="1077"/>
      <c r="H3698" s="1067"/>
      <c r="I3698" s="1059"/>
      <c r="J3698" s="1068"/>
      <c r="K3698" s="1064"/>
      <c r="L3698" s="1069"/>
      <c r="M3698" s="1069"/>
      <c r="N3698" s="1069"/>
      <c r="O3698" s="1070"/>
      <c r="P3698" s="1071"/>
      <c r="Q3698" s="1058"/>
      <c r="R3698" s="1063"/>
    </row>
    <row r="3699" spans="1:18" s="90" customFormat="1">
      <c r="A3699" s="1058"/>
      <c r="B3699" s="1065"/>
      <c r="C3699" s="1065"/>
      <c r="D3699" s="1065"/>
      <c r="E3699" s="1058"/>
      <c r="F3699" s="1073"/>
      <c r="G3699" s="1077"/>
      <c r="H3699" s="1067"/>
      <c r="I3699" s="1059"/>
      <c r="J3699" s="1068"/>
      <c r="K3699" s="1064"/>
      <c r="L3699" s="1069"/>
      <c r="M3699" s="1069"/>
      <c r="N3699" s="1069"/>
      <c r="O3699" s="1070"/>
      <c r="P3699" s="1071"/>
      <c r="Q3699" s="1058"/>
      <c r="R3699" s="1063"/>
    </row>
    <row r="3700" spans="1:18" s="90" customFormat="1">
      <c r="A3700" s="1058"/>
      <c r="B3700" s="1065"/>
      <c r="C3700" s="1065"/>
      <c r="D3700" s="1065"/>
      <c r="E3700" s="1058"/>
      <c r="F3700" s="1073"/>
      <c r="G3700" s="1077"/>
      <c r="H3700" s="1067"/>
      <c r="I3700" s="1059"/>
      <c r="J3700" s="1068"/>
      <c r="K3700" s="1064"/>
      <c r="L3700" s="1069"/>
      <c r="M3700" s="1069"/>
      <c r="N3700" s="1069"/>
      <c r="O3700" s="1070"/>
      <c r="P3700" s="1071"/>
      <c r="Q3700" s="1058"/>
      <c r="R3700" s="1063"/>
    </row>
    <row r="3701" spans="1:18" s="90" customFormat="1">
      <c r="A3701" s="1058"/>
      <c r="B3701" s="1065"/>
      <c r="C3701" s="1065"/>
      <c r="D3701" s="1065"/>
      <c r="E3701" s="1058"/>
      <c r="F3701" s="1073"/>
      <c r="G3701" s="1077"/>
      <c r="H3701" s="1067"/>
      <c r="I3701" s="1059"/>
      <c r="J3701" s="1068"/>
      <c r="K3701" s="1064"/>
      <c r="L3701" s="1069"/>
      <c r="M3701" s="1069"/>
      <c r="N3701" s="1069"/>
      <c r="O3701" s="1070"/>
      <c r="P3701" s="1071"/>
      <c r="Q3701" s="1058"/>
      <c r="R3701" s="1063"/>
    </row>
    <row r="3702" spans="1:18" s="90" customFormat="1">
      <c r="A3702" s="1058"/>
      <c r="B3702" s="1065"/>
      <c r="C3702" s="1065"/>
      <c r="D3702" s="1065"/>
      <c r="E3702" s="1058"/>
      <c r="F3702" s="1073"/>
      <c r="G3702" s="1077"/>
      <c r="H3702" s="1067"/>
      <c r="I3702" s="1059"/>
      <c r="J3702" s="1068"/>
      <c r="K3702" s="1064"/>
      <c r="L3702" s="1069"/>
      <c r="M3702" s="1069"/>
      <c r="N3702" s="1069"/>
      <c r="O3702" s="1070"/>
      <c r="P3702" s="1071"/>
      <c r="Q3702" s="1058"/>
      <c r="R3702" s="1063"/>
    </row>
    <row r="3703" spans="1:18" s="90" customFormat="1">
      <c r="A3703" s="1058"/>
      <c r="B3703" s="1065"/>
      <c r="C3703" s="1065"/>
      <c r="D3703" s="1065"/>
      <c r="E3703" s="1058"/>
      <c r="F3703" s="1073"/>
      <c r="G3703" s="1077"/>
      <c r="H3703" s="1067"/>
      <c r="I3703" s="1059"/>
      <c r="J3703" s="1068"/>
      <c r="K3703" s="1064"/>
      <c r="L3703" s="1069"/>
      <c r="M3703" s="1069"/>
      <c r="N3703" s="1069"/>
      <c r="O3703" s="1070"/>
      <c r="P3703" s="1071"/>
      <c r="Q3703" s="1058"/>
      <c r="R3703" s="1063"/>
    </row>
    <row r="3704" spans="1:18" s="90" customFormat="1">
      <c r="A3704" s="1058"/>
      <c r="B3704" s="1065"/>
      <c r="C3704" s="1065"/>
      <c r="D3704" s="1065"/>
      <c r="E3704" s="1058"/>
      <c r="F3704" s="1073"/>
      <c r="G3704" s="1077"/>
      <c r="H3704" s="1067"/>
      <c r="I3704" s="1059"/>
      <c r="J3704" s="1068"/>
      <c r="K3704" s="1064"/>
      <c r="L3704" s="1069"/>
      <c r="M3704" s="1069"/>
      <c r="N3704" s="1069"/>
      <c r="O3704" s="1070"/>
      <c r="P3704" s="1071"/>
      <c r="Q3704" s="1058"/>
      <c r="R3704" s="1063"/>
    </row>
    <row r="3705" spans="1:18" s="90" customFormat="1">
      <c r="A3705" s="1058"/>
      <c r="B3705" s="1065"/>
      <c r="C3705" s="1065"/>
      <c r="D3705" s="1065"/>
      <c r="E3705" s="1058"/>
      <c r="F3705" s="1073"/>
      <c r="G3705" s="1077"/>
      <c r="H3705" s="1067"/>
      <c r="I3705" s="1059"/>
      <c r="J3705" s="1068"/>
      <c r="K3705" s="1064"/>
      <c r="L3705" s="1069"/>
      <c r="M3705" s="1069"/>
      <c r="N3705" s="1069"/>
      <c r="O3705" s="1070"/>
      <c r="P3705" s="1071"/>
      <c r="Q3705" s="1058"/>
      <c r="R3705" s="1063"/>
    </row>
    <row r="3706" spans="1:18" s="90" customFormat="1">
      <c r="A3706" s="1058"/>
      <c r="B3706" s="1065"/>
      <c r="C3706" s="1065"/>
      <c r="D3706" s="1065"/>
      <c r="E3706" s="1058"/>
      <c r="F3706" s="1073"/>
      <c r="G3706" s="1077"/>
      <c r="H3706" s="1067"/>
      <c r="I3706" s="1059"/>
      <c r="J3706" s="1068"/>
      <c r="K3706" s="1064"/>
      <c r="L3706" s="1069"/>
      <c r="M3706" s="1069"/>
      <c r="N3706" s="1069"/>
      <c r="O3706" s="1070"/>
      <c r="P3706" s="1071"/>
      <c r="Q3706" s="1058"/>
      <c r="R3706" s="1063"/>
    </row>
    <row r="3707" spans="1:18" s="90" customFormat="1">
      <c r="A3707" s="1058"/>
      <c r="B3707" s="1065"/>
      <c r="C3707" s="1065"/>
      <c r="D3707" s="1065"/>
      <c r="E3707" s="1058"/>
      <c r="F3707" s="1073"/>
      <c r="G3707" s="1077"/>
      <c r="H3707" s="1067"/>
      <c r="I3707" s="1059"/>
      <c r="J3707" s="1068"/>
      <c r="K3707" s="1064"/>
      <c r="L3707" s="1069"/>
      <c r="M3707" s="1069"/>
      <c r="N3707" s="1069"/>
      <c r="O3707" s="1070"/>
      <c r="P3707" s="1071"/>
      <c r="Q3707" s="1058"/>
      <c r="R3707" s="1063"/>
    </row>
    <row r="3708" spans="1:18" s="90" customFormat="1">
      <c r="A3708" s="1058"/>
      <c r="B3708" s="1065"/>
      <c r="C3708" s="1065"/>
      <c r="D3708" s="1065"/>
      <c r="E3708" s="1058"/>
      <c r="F3708" s="1073"/>
      <c r="G3708" s="1077"/>
      <c r="H3708" s="1067"/>
      <c r="I3708" s="1059"/>
      <c r="J3708" s="1068"/>
      <c r="K3708" s="1064"/>
      <c r="L3708" s="1069"/>
      <c r="M3708" s="1069"/>
      <c r="N3708" s="1069"/>
      <c r="O3708" s="1070"/>
      <c r="P3708" s="1071"/>
      <c r="Q3708" s="1058"/>
      <c r="R3708" s="1063"/>
    </row>
    <row r="3709" spans="1:18" s="90" customFormat="1">
      <c r="A3709" s="1058"/>
      <c r="B3709" s="1065"/>
      <c r="C3709" s="1065"/>
      <c r="D3709" s="1065"/>
      <c r="E3709" s="1058"/>
      <c r="F3709" s="1073"/>
      <c r="G3709" s="1077"/>
      <c r="H3709" s="1067"/>
      <c r="I3709" s="1059"/>
      <c r="J3709" s="1068"/>
      <c r="K3709" s="1064"/>
      <c r="L3709" s="1069"/>
      <c r="M3709" s="1069"/>
      <c r="N3709" s="1069"/>
      <c r="O3709" s="1070"/>
      <c r="P3709" s="1071"/>
      <c r="Q3709" s="1058"/>
      <c r="R3709" s="1063"/>
    </row>
    <row r="3710" spans="1:18" s="90" customFormat="1">
      <c r="A3710" s="1058"/>
      <c r="B3710" s="1065"/>
      <c r="C3710" s="1065"/>
      <c r="D3710" s="1065"/>
      <c r="E3710" s="1058"/>
      <c r="F3710" s="1073"/>
      <c r="G3710" s="1077"/>
      <c r="H3710" s="1067"/>
      <c r="I3710" s="1059"/>
      <c r="J3710" s="1068"/>
      <c r="K3710" s="1064"/>
      <c r="L3710" s="1069"/>
      <c r="M3710" s="1069"/>
      <c r="N3710" s="1069"/>
      <c r="O3710" s="1070"/>
      <c r="P3710" s="1071"/>
      <c r="Q3710" s="1058"/>
      <c r="R3710" s="1063"/>
    </row>
    <row r="3711" spans="1:18" s="90" customFormat="1">
      <c r="A3711" s="1058"/>
      <c r="B3711" s="1065"/>
      <c r="C3711" s="1065"/>
      <c r="D3711" s="1065"/>
      <c r="E3711" s="1058"/>
      <c r="F3711" s="1073"/>
      <c r="G3711" s="1077"/>
      <c r="H3711" s="1067"/>
      <c r="I3711" s="1059"/>
      <c r="J3711" s="1068"/>
      <c r="K3711" s="1064"/>
      <c r="L3711" s="1069"/>
      <c r="M3711" s="1069"/>
      <c r="N3711" s="1069"/>
      <c r="O3711" s="1070"/>
      <c r="P3711" s="1071"/>
      <c r="Q3711" s="1058"/>
      <c r="R3711" s="1063"/>
    </row>
    <row r="3712" spans="1:18" s="90" customFormat="1">
      <c r="A3712" s="1058"/>
      <c r="B3712" s="1065"/>
      <c r="C3712" s="1065"/>
      <c r="D3712" s="1065"/>
      <c r="E3712" s="1058"/>
      <c r="F3712" s="1073"/>
      <c r="G3712" s="1077"/>
      <c r="H3712" s="1067"/>
      <c r="I3712" s="1059"/>
      <c r="J3712" s="1068"/>
      <c r="K3712" s="1064"/>
      <c r="L3712" s="1069"/>
      <c r="M3712" s="1069"/>
      <c r="N3712" s="1069"/>
      <c r="O3712" s="1070"/>
      <c r="P3712" s="1071"/>
      <c r="Q3712" s="1058"/>
      <c r="R3712" s="1063"/>
    </row>
    <row r="3713" spans="1:18" s="90" customFormat="1">
      <c r="A3713" s="1058"/>
      <c r="B3713" s="1065"/>
      <c r="C3713" s="1065"/>
      <c r="D3713" s="1065"/>
      <c r="E3713" s="1058"/>
      <c r="F3713" s="1073"/>
      <c r="G3713" s="1077"/>
      <c r="H3713" s="1067"/>
      <c r="I3713" s="1059"/>
      <c r="J3713" s="1068"/>
      <c r="K3713" s="1064"/>
      <c r="L3713" s="1069"/>
      <c r="M3713" s="1069"/>
      <c r="N3713" s="1069"/>
      <c r="O3713" s="1070"/>
      <c r="P3713" s="1071"/>
      <c r="Q3713" s="1058"/>
      <c r="R3713" s="1063"/>
    </row>
    <row r="3714" spans="1:18" s="90" customFormat="1">
      <c r="A3714" s="1058"/>
      <c r="B3714" s="1065"/>
      <c r="C3714" s="1065"/>
      <c r="D3714" s="1065"/>
      <c r="E3714" s="1058"/>
      <c r="F3714" s="1073"/>
      <c r="G3714" s="1077"/>
      <c r="H3714" s="1067"/>
      <c r="I3714" s="1059"/>
      <c r="J3714" s="1068"/>
      <c r="K3714" s="1064"/>
      <c r="L3714" s="1069"/>
      <c r="M3714" s="1069"/>
      <c r="N3714" s="1069"/>
      <c r="O3714" s="1070"/>
      <c r="P3714" s="1071"/>
      <c r="Q3714" s="1058"/>
      <c r="R3714" s="1063"/>
    </row>
    <row r="3715" spans="1:18" s="90" customFormat="1">
      <c r="A3715" s="1058"/>
      <c r="B3715" s="1065"/>
      <c r="C3715" s="1065"/>
      <c r="D3715" s="1065"/>
      <c r="E3715" s="1058"/>
      <c r="F3715" s="1073"/>
      <c r="G3715" s="1077"/>
      <c r="H3715" s="1067"/>
      <c r="I3715" s="1059"/>
      <c r="J3715" s="1068"/>
      <c r="K3715" s="1064"/>
      <c r="L3715" s="1069"/>
      <c r="M3715" s="1069"/>
      <c r="N3715" s="1069"/>
      <c r="O3715" s="1070"/>
      <c r="P3715" s="1071"/>
      <c r="Q3715" s="1058"/>
      <c r="R3715" s="1063"/>
    </row>
    <row r="3716" spans="1:18" s="90" customFormat="1">
      <c r="A3716" s="1058"/>
      <c r="B3716" s="1065"/>
      <c r="C3716" s="1065"/>
      <c r="D3716" s="1065"/>
      <c r="E3716" s="1058"/>
      <c r="F3716" s="1073"/>
      <c r="G3716" s="1077"/>
      <c r="H3716" s="1067"/>
      <c r="I3716" s="1059"/>
      <c r="J3716" s="1068"/>
      <c r="K3716" s="1064"/>
      <c r="L3716" s="1069"/>
      <c r="M3716" s="1069"/>
      <c r="N3716" s="1069"/>
      <c r="O3716" s="1070"/>
      <c r="P3716" s="1071"/>
      <c r="Q3716" s="1058"/>
      <c r="R3716" s="1063"/>
    </row>
    <row r="3717" spans="1:18" s="90" customFormat="1">
      <c r="A3717" s="1058"/>
      <c r="B3717" s="1065"/>
      <c r="C3717" s="1065"/>
      <c r="D3717" s="1065"/>
      <c r="E3717" s="1058"/>
      <c r="F3717" s="1073"/>
      <c r="G3717" s="1077"/>
      <c r="H3717" s="1067"/>
      <c r="I3717" s="1059"/>
      <c r="J3717" s="1068"/>
      <c r="K3717" s="1064"/>
      <c r="L3717" s="1069"/>
      <c r="M3717" s="1069"/>
      <c r="N3717" s="1069"/>
      <c r="O3717" s="1070"/>
      <c r="P3717" s="1071"/>
      <c r="Q3717" s="1058"/>
      <c r="R3717" s="1063"/>
    </row>
    <row r="3718" spans="1:18" s="90" customFormat="1">
      <c r="A3718" s="1058"/>
      <c r="B3718" s="1065"/>
      <c r="C3718" s="1065"/>
      <c r="D3718" s="1065"/>
      <c r="E3718" s="1058"/>
      <c r="F3718" s="1073"/>
      <c r="G3718" s="1077"/>
      <c r="H3718" s="1067"/>
      <c r="I3718" s="1059"/>
      <c r="J3718" s="1068"/>
      <c r="K3718" s="1064"/>
      <c r="L3718" s="1069"/>
      <c r="M3718" s="1069"/>
      <c r="N3718" s="1069"/>
      <c r="O3718" s="1070"/>
      <c r="P3718" s="1071"/>
      <c r="Q3718" s="1058"/>
      <c r="R3718" s="1063"/>
    </row>
    <row r="3719" spans="1:18" s="90" customFormat="1">
      <c r="A3719" s="1058"/>
      <c r="B3719" s="1065"/>
      <c r="C3719" s="1065"/>
      <c r="D3719" s="1065"/>
      <c r="E3719" s="1058"/>
      <c r="F3719" s="1073"/>
      <c r="G3719" s="1077"/>
      <c r="H3719" s="1067"/>
      <c r="I3719" s="1059"/>
      <c r="J3719" s="1068"/>
      <c r="K3719" s="1064"/>
      <c r="L3719" s="1069"/>
      <c r="M3719" s="1069"/>
      <c r="N3719" s="1069"/>
      <c r="O3719" s="1070"/>
      <c r="P3719" s="1071"/>
      <c r="Q3719" s="1058"/>
      <c r="R3719" s="1063"/>
    </row>
    <row r="3720" spans="1:18" s="90" customFormat="1">
      <c r="A3720" s="1058"/>
      <c r="B3720" s="1065"/>
      <c r="C3720" s="1065"/>
      <c r="D3720" s="1065"/>
      <c r="E3720" s="1058"/>
      <c r="F3720" s="1073"/>
      <c r="G3720" s="1077"/>
      <c r="H3720" s="1067"/>
      <c r="I3720" s="1059"/>
      <c r="J3720" s="1068"/>
      <c r="K3720" s="1064"/>
      <c r="L3720" s="1069"/>
      <c r="M3720" s="1069"/>
      <c r="N3720" s="1069"/>
      <c r="O3720" s="1070"/>
      <c r="P3720" s="1071"/>
      <c r="Q3720" s="1058"/>
      <c r="R3720" s="1063"/>
    </row>
    <row r="3721" spans="1:18" s="90" customFormat="1">
      <c r="A3721" s="1058"/>
      <c r="B3721" s="1065"/>
      <c r="C3721" s="1065"/>
      <c r="D3721" s="1065"/>
      <c r="E3721" s="1058"/>
      <c r="F3721" s="1073"/>
      <c r="G3721" s="1077"/>
      <c r="H3721" s="1067"/>
      <c r="I3721" s="1059"/>
      <c r="J3721" s="1068"/>
      <c r="K3721" s="1064"/>
      <c r="L3721" s="1069"/>
      <c r="M3721" s="1069"/>
      <c r="N3721" s="1069"/>
      <c r="O3721" s="1070"/>
      <c r="P3721" s="1071"/>
      <c r="Q3721" s="1058"/>
      <c r="R3721" s="1063"/>
    </row>
    <row r="3722" spans="1:18" s="90" customFormat="1">
      <c r="A3722" s="1058"/>
      <c r="B3722" s="1065"/>
      <c r="C3722" s="1065"/>
      <c r="D3722" s="1065"/>
      <c r="E3722" s="1058"/>
      <c r="F3722" s="1073"/>
      <c r="G3722" s="1077"/>
      <c r="H3722" s="1067"/>
      <c r="I3722" s="1059"/>
      <c r="J3722" s="1068"/>
      <c r="K3722" s="1064"/>
      <c r="L3722" s="1069"/>
      <c r="M3722" s="1069"/>
      <c r="N3722" s="1069"/>
      <c r="O3722" s="1070"/>
      <c r="P3722" s="1071"/>
      <c r="Q3722" s="1058"/>
      <c r="R3722" s="1063"/>
    </row>
    <row r="3723" spans="1:18" s="90" customFormat="1">
      <c r="A3723" s="1058"/>
      <c r="B3723" s="1065"/>
      <c r="C3723" s="1065"/>
      <c r="D3723" s="1065"/>
      <c r="E3723" s="1058"/>
      <c r="F3723" s="1073"/>
      <c r="G3723" s="1077"/>
      <c r="H3723" s="1067"/>
      <c r="I3723" s="1059"/>
      <c r="J3723" s="1068"/>
      <c r="K3723" s="1064"/>
      <c r="L3723" s="1069"/>
      <c r="M3723" s="1069"/>
      <c r="N3723" s="1069"/>
      <c r="O3723" s="1070"/>
      <c r="P3723" s="1071"/>
      <c r="Q3723" s="1058"/>
      <c r="R3723" s="1063"/>
    </row>
    <row r="3724" spans="1:18" s="90" customFormat="1">
      <c r="A3724" s="1058"/>
      <c r="B3724" s="1065"/>
      <c r="C3724" s="1065"/>
      <c r="D3724" s="1065"/>
      <c r="E3724" s="1058"/>
      <c r="F3724" s="1073"/>
      <c r="G3724" s="1077"/>
      <c r="H3724" s="1067"/>
      <c r="I3724" s="1059"/>
      <c r="J3724" s="1068"/>
      <c r="K3724" s="1064"/>
      <c r="L3724" s="1069"/>
      <c r="M3724" s="1069"/>
      <c r="N3724" s="1069"/>
      <c r="O3724" s="1070"/>
      <c r="P3724" s="1071"/>
      <c r="Q3724" s="1058"/>
      <c r="R3724" s="1063"/>
    </row>
    <row r="3725" spans="1:18" s="90" customFormat="1">
      <c r="A3725" s="1058"/>
      <c r="B3725" s="1065"/>
      <c r="C3725" s="1065"/>
      <c r="D3725" s="1065"/>
      <c r="E3725" s="1058"/>
      <c r="F3725" s="1073"/>
      <c r="G3725" s="1077"/>
      <c r="H3725" s="1067"/>
      <c r="I3725" s="1059"/>
      <c r="J3725" s="1068"/>
      <c r="K3725" s="1064"/>
      <c r="L3725" s="1069"/>
      <c r="M3725" s="1069"/>
      <c r="N3725" s="1069"/>
      <c r="O3725" s="1070"/>
      <c r="P3725" s="1071"/>
      <c r="Q3725" s="1058"/>
      <c r="R3725" s="1063"/>
    </row>
    <row r="3726" spans="1:18" s="90" customFormat="1">
      <c r="A3726" s="1058"/>
      <c r="B3726" s="1065"/>
      <c r="C3726" s="1065"/>
      <c r="D3726" s="1065"/>
      <c r="E3726" s="1058"/>
      <c r="F3726" s="1073"/>
      <c r="G3726" s="1077"/>
      <c r="H3726" s="1067"/>
      <c r="I3726" s="1059"/>
      <c r="J3726" s="1068"/>
      <c r="K3726" s="1064"/>
      <c r="L3726" s="1069"/>
      <c r="M3726" s="1069"/>
      <c r="N3726" s="1069"/>
      <c r="O3726" s="1070"/>
      <c r="P3726" s="1071"/>
      <c r="Q3726" s="1058"/>
      <c r="R3726" s="1063"/>
    </row>
    <row r="3727" spans="1:18" s="90" customFormat="1">
      <c r="A3727" s="1058"/>
      <c r="B3727" s="1065"/>
      <c r="C3727" s="1065"/>
      <c r="D3727" s="1065"/>
      <c r="E3727" s="1058"/>
      <c r="F3727" s="1073"/>
      <c r="G3727" s="1077"/>
      <c r="H3727" s="1067"/>
      <c r="I3727" s="1059"/>
      <c r="J3727" s="1068"/>
      <c r="K3727" s="1064"/>
      <c r="L3727" s="1069"/>
      <c r="M3727" s="1069"/>
      <c r="N3727" s="1069"/>
      <c r="O3727" s="1070"/>
      <c r="P3727" s="1071"/>
      <c r="Q3727" s="1058"/>
      <c r="R3727" s="1063"/>
    </row>
    <row r="3728" spans="1:18" s="90" customFormat="1">
      <c r="A3728" s="1058"/>
      <c r="B3728" s="1065"/>
      <c r="C3728" s="1065"/>
      <c r="D3728" s="1065"/>
      <c r="E3728" s="1058"/>
      <c r="F3728" s="1073"/>
      <c r="G3728" s="1077"/>
      <c r="H3728" s="1067"/>
      <c r="I3728" s="1059"/>
      <c r="J3728" s="1068"/>
      <c r="K3728" s="1064"/>
      <c r="L3728" s="1069"/>
      <c r="M3728" s="1069"/>
      <c r="N3728" s="1069"/>
      <c r="O3728" s="1070"/>
      <c r="P3728" s="1071"/>
      <c r="Q3728" s="1058"/>
      <c r="R3728" s="1063"/>
    </row>
    <row r="3729" spans="1:18" s="90" customFormat="1">
      <c r="A3729" s="1058"/>
      <c r="B3729" s="1065"/>
      <c r="C3729" s="1065"/>
      <c r="D3729" s="1065"/>
      <c r="E3729" s="1058"/>
      <c r="F3729" s="1073"/>
      <c r="G3729" s="1077"/>
      <c r="H3729" s="1067"/>
      <c r="I3729" s="1059"/>
      <c r="J3729" s="1068"/>
      <c r="K3729" s="1064"/>
      <c r="L3729" s="1069"/>
      <c r="M3729" s="1069"/>
      <c r="N3729" s="1069"/>
      <c r="O3729" s="1070"/>
      <c r="P3729" s="1071"/>
      <c r="Q3729" s="1058"/>
      <c r="R3729" s="1063"/>
    </row>
    <row r="3730" spans="1:18" s="90" customFormat="1">
      <c r="A3730" s="1058"/>
      <c r="B3730" s="1065"/>
      <c r="C3730" s="1065"/>
      <c r="D3730" s="1065"/>
      <c r="E3730" s="1058"/>
      <c r="F3730" s="1073"/>
      <c r="G3730" s="1077"/>
      <c r="H3730" s="1067"/>
      <c r="I3730" s="1059"/>
      <c r="J3730" s="1068"/>
      <c r="K3730" s="1064"/>
      <c r="L3730" s="1069"/>
      <c r="M3730" s="1069"/>
      <c r="N3730" s="1069"/>
      <c r="O3730" s="1070"/>
      <c r="P3730" s="1071"/>
      <c r="Q3730" s="1058"/>
      <c r="R3730" s="1063"/>
    </row>
    <row r="3731" spans="1:18" s="90" customFormat="1">
      <c r="A3731" s="1058"/>
      <c r="B3731" s="1065"/>
      <c r="C3731" s="1065"/>
      <c r="D3731" s="1065"/>
      <c r="E3731" s="1058"/>
      <c r="F3731" s="1073"/>
      <c r="G3731" s="1077"/>
      <c r="H3731" s="1067"/>
      <c r="I3731" s="1059"/>
      <c r="J3731" s="1068"/>
      <c r="K3731" s="1064"/>
      <c r="L3731" s="1069"/>
      <c r="M3731" s="1069"/>
      <c r="N3731" s="1069"/>
      <c r="O3731" s="1070"/>
      <c r="P3731" s="1071"/>
      <c r="Q3731" s="1058"/>
      <c r="R3731" s="1063"/>
    </row>
    <row r="3732" spans="1:18" s="90" customFormat="1">
      <c r="A3732" s="1058"/>
      <c r="B3732" s="1065"/>
      <c r="C3732" s="1065"/>
      <c r="D3732" s="1065"/>
      <c r="E3732" s="1058"/>
      <c r="F3732" s="1073"/>
      <c r="G3732" s="1077"/>
      <c r="H3732" s="1067"/>
      <c r="I3732" s="1059"/>
      <c r="J3732" s="1068"/>
      <c r="K3732" s="1064"/>
      <c r="L3732" s="1069"/>
      <c r="M3732" s="1069"/>
      <c r="N3732" s="1069"/>
      <c r="O3732" s="1070"/>
      <c r="P3732" s="1071"/>
      <c r="Q3732" s="1058"/>
      <c r="R3732" s="1063"/>
    </row>
    <row r="3733" spans="1:18" s="90" customFormat="1">
      <c r="A3733" s="1058"/>
      <c r="B3733" s="1065"/>
      <c r="C3733" s="1065"/>
      <c r="D3733" s="1065"/>
      <c r="E3733" s="1058"/>
      <c r="F3733" s="1073"/>
      <c r="G3733" s="1077"/>
      <c r="H3733" s="1067"/>
      <c r="I3733" s="1059"/>
      <c r="J3733" s="1068"/>
      <c r="K3733" s="1064"/>
      <c r="L3733" s="1069"/>
      <c r="M3733" s="1069"/>
      <c r="N3733" s="1069"/>
      <c r="O3733" s="1070"/>
      <c r="P3733" s="1071"/>
      <c r="Q3733" s="1058"/>
      <c r="R3733" s="1063"/>
    </row>
    <row r="3734" spans="1:18" s="90" customFormat="1">
      <c r="A3734" s="1058"/>
      <c r="B3734" s="1065"/>
      <c r="C3734" s="1065"/>
      <c r="D3734" s="1065"/>
      <c r="E3734" s="1058"/>
      <c r="F3734" s="1073"/>
      <c r="G3734" s="1077"/>
      <c r="H3734" s="1067"/>
      <c r="I3734" s="1059"/>
      <c r="J3734" s="1068"/>
      <c r="K3734" s="1064"/>
      <c r="L3734" s="1069"/>
      <c r="M3734" s="1069"/>
      <c r="N3734" s="1069"/>
      <c r="O3734" s="1070"/>
      <c r="P3734" s="1071"/>
      <c r="Q3734" s="1058"/>
      <c r="R3734" s="1063"/>
    </row>
    <row r="3735" spans="1:18" s="90" customFormat="1">
      <c r="A3735" s="1058"/>
      <c r="B3735" s="1065"/>
      <c r="C3735" s="1065"/>
      <c r="D3735" s="1065"/>
      <c r="E3735" s="1058"/>
      <c r="F3735" s="1073"/>
      <c r="G3735" s="1077"/>
      <c r="H3735" s="1067"/>
      <c r="I3735" s="1059"/>
      <c r="J3735" s="1068"/>
      <c r="K3735" s="1064"/>
      <c r="L3735" s="1069"/>
      <c r="M3735" s="1069"/>
      <c r="N3735" s="1069"/>
      <c r="O3735" s="1070"/>
      <c r="P3735" s="1071"/>
      <c r="Q3735" s="1058"/>
      <c r="R3735" s="1063"/>
    </row>
    <row r="3736" spans="1:18" s="90" customFormat="1">
      <c r="A3736" s="1058"/>
      <c r="B3736" s="1065"/>
      <c r="C3736" s="1065"/>
      <c r="D3736" s="1065"/>
      <c r="E3736" s="1058"/>
      <c r="F3736" s="1073"/>
      <c r="G3736" s="1077"/>
      <c r="H3736" s="1067"/>
      <c r="I3736" s="1059"/>
      <c r="J3736" s="1068"/>
      <c r="K3736" s="1064"/>
      <c r="L3736" s="1069"/>
      <c r="M3736" s="1069"/>
      <c r="N3736" s="1069"/>
      <c r="O3736" s="1070"/>
      <c r="P3736" s="1071"/>
      <c r="Q3736" s="1058"/>
      <c r="R3736" s="1063"/>
    </row>
    <row r="3737" spans="1:18" s="90" customFormat="1">
      <c r="A3737" s="1058"/>
      <c r="B3737" s="1065"/>
      <c r="C3737" s="1065"/>
      <c r="D3737" s="1065"/>
      <c r="E3737" s="1058"/>
      <c r="F3737" s="1073"/>
      <c r="G3737" s="1077"/>
      <c r="H3737" s="1067"/>
      <c r="I3737" s="1059"/>
      <c r="J3737" s="1068"/>
      <c r="K3737" s="1064"/>
      <c r="L3737" s="1069"/>
      <c r="M3737" s="1069"/>
      <c r="N3737" s="1069"/>
      <c r="O3737" s="1070"/>
      <c r="P3737" s="1071"/>
      <c r="Q3737" s="1058"/>
      <c r="R3737" s="1063"/>
    </row>
    <row r="3738" spans="1:18" s="90" customFormat="1">
      <c r="A3738" s="1058"/>
      <c r="B3738" s="1065"/>
      <c r="C3738" s="1065"/>
      <c r="D3738" s="1065"/>
      <c r="E3738" s="1058"/>
      <c r="F3738" s="1073"/>
      <c r="G3738" s="1077"/>
      <c r="H3738" s="1067"/>
      <c r="I3738" s="1059"/>
      <c r="J3738" s="1068"/>
      <c r="K3738" s="1064"/>
      <c r="L3738" s="1069"/>
      <c r="M3738" s="1069"/>
      <c r="N3738" s="1069"/>
      <c r="O3738" s="1070"/>
      <c r="P3738" s="1071"/>
      <c r="Q3738" s="1058"/>
      <c r="R3738" s="1063"/>
    </row>
    <row r="3739" spans="1:18" s="90" customFormat="1">
      <c r="A3739" s="1058"/>
      <c r="B3739" s="1065"/>
      <c r="C3739" s="1065"/>
      <c r="D3739" s="1065"/>
      <c r="E3739" s="1058"/>
      <c r="F3739" s="1073"/>
      <c r="G3739" s="1077"/>
      <c r="H3739" s="1067"/>
      <c r="I3739" s="1059"/>
      <c r="J3739" s="1068"/>
      <c r="K3739" s="1064"/>
      <c r="L3739" s="1069"/>
      <c r="M3739" s="1069"/>
      <c r="N3739" s="1069"/>
      <c r="O3739" s="1070"/>
      <c r="P3739" s="1071"/>
      <c r="Q3739" s="1058"/>
      <c r="R3739" s="1063"/>
    </row>
    <row r="3740" spans="1:18" s="90" customFormat="1">
      <c r="A3740" s="1058"/>
      <c r="B3740" s="1065"/>
      <c r="C3740" s="1065"/>
      <c r="D3740" s="1065"/>
      <c r="E3740" s="1058"/>
      <c r="F3740" s="1073"/>
      <c r="G3740" s="1077"/>
      <c r="H3740" s="1067"/>
      <c r="I3740" s="1059"/>
      <c r="J3740" s="1068"/>
      <c r="K3740" s="1064"/>
      <c r="L3740" s="1069"/>
      <c r="M3740" s="1069"/>
      <c r="N3740" s="1069"/>
      <c r="O3740" s="1070"/>
      <c r="P3740" s="1071"/>
      <c r="Q3740" s="1058"/>
      <c r="R3740" s="1063"/>
    </row>
    <row r="3741" spans="1:18" s="90" customFormat="1">
      <c r="A3741" s="1058"/>
      <c r="B3741" s="1065"/>
      <c r="C3741" s="1065"/>
      <c r="D3741" s="1065"/>
      <c r="E3741" s="1058"/>
      <c r="F3741" s="1073"/>
      <c r="G3741" s="1077"/>
      <c r="H3741" s="1067"/>
      <c r="I3741" s="1059"/>
      <c r="J3741" s="1068"/>
      <c r="K3741" s="1064"/>
      <c r="L3741" s="1069"/>
      <c r="M3741" s="1069"/>
      <c r="N3741" s="1069"/>
      <c r="O3741" s="1070"/>
      <c r="P3741" s="1071"/>
      <c r="Q3741" s="1058"/>
      <c r="R3741" s="1063"/>
    </row>
    <row r="3742" spans="1:18" s="90" customFormat="1">
      <c r="A3742" s="1058"/>
      <c r="B3742" s="1065"/>
      <c r="C3742" s="1065"/>
      <c r="D3742" s="1065"/>
      <c r="E3742" s="1058"/>
      <c r="F3742" s="1073"/>
      <c r="G3742" s="1077"/>
      <c r="H3742" s="1067"/>
      <c r="I3742" s="1059"/>
      <c r="J3742" s="1068"/>
      <c r="K3742" s="1064"/>
      <c r="L3742" s="1069"/>
      <c r="M3742" s="1069"/>
      <c r="N3742" s="1069"/>
      <c r="O3742" s="1070"/>
      <c r="P3742" s="1071"/>
      <c r="Q3742" s="1058"/>
      <c r="R3742" s="1063"/>
    </row>
    <row r="3743" spans="1:18" s="90" customFormat="1">
      <c r="A3743" s="1058"/>
      <c r="B3743" s="1065"/>
      <c r="C3743" s="1065"/>
      <c r="D3743" s="1065"/>
      <c r="E3743" s="1058"/>
      <c r="F3743" s="1073"/>
      <c r="G3743" s="1077"/>
      <c r="H3743" s="1067"/>
      <c r="I3743" s="1059"/>
      <c r="J3743" s="1068"/>
      <c r="K3743" s="1064"/>
      <c r="L3743" s="1069"/>
      <c r="M3743" s="1069"/>
      <c r="N3743" s="1069"/>
      <c r="O3743" s="1070"/>
      <c r="P3743" s="1071"/>
      <c r="Q3743" s="1058"/>
      <c r="R3743" s="1063"/>
    </row>
    <row r="3744" spans="1:18" s="90" customFormat="1">
      <c r="A3744" s="1058"/>
      <c r="B3744" s="1065"/>
      <c r="C3744" s="1065"/>
      <c r="D3744" s="1065"/>
      <c r="E3744" s="1058"/>
      <c r="F3744" s="1073"/>
      <c r="G3744" s="1077"/>
      <c r="H3744" s="1067"/>
      <c r="I3744" s="1059"/>
      <c r="J3744" s="1068"/>
      <c r="K3744" s="1064"/>
      <c r="L3744" s="1069"/>
      <c r="M3744" s="1069"/>
      <c r="N3744" s="1069"/>
      <c r="O3744" s="1070"/>
      <c r="P3744" s="1071"/>
      <c r="Q3744" s="1058"/>
      <c r="R3744" s="1063"/>
    </row>
    <row r="3745" spans="1:18" s="90" customFormat="1">
      <c r="A3745" s="1058"/>
      <c r="B3745" s="1065"/>
      <c r="C3745" s="1065"/>
      <c r="D3745" s="1065"/>
      <c r="E3745" s="1058"/>
      <c r="F3745" s="1073"/>
      <c r="G3745" s="1077"/>
      <c r="H3745" s="1067"/>
      <c r="I3745" s="1059"/>
      <c r="J3745" s="1068"/>
      <c r="K3745" s="1064"/>
      <c r="L3745" s="1069"/>
      <c r="M3745" s="1069"/>
      <c r="N3745" s="1069"/>
      <c r="O3745" s="1070"/>
      <c r="P3745" s="1071"/>
      <c r="Q3745" s="1058"/>
      <c r="R3745" s="1063"/>
    </row>
    <row r="3746" spans="1:18">
      <c r="A3746" s="1058" t="s">
        <v>671</v>
      </c>
      <c r="B3746" s="1065">
        <f ca="1">+J317</f>
        <v>260175.25</v>
      </c>
      <c r="C3746" s="1065">
        <f ca="1">+K317</f>
        <v>268815.25</v>
      </c>
      <c r="D3746" s="1065">
        <f ca="1">+L317</f>
        <v>269295.25</v>
      </c>
      <c r="E3746" s="1058">
        <f t="shared" ref="E3746" si="93">+E3639+1</f>
        <v>19</v>
      </c>
      <c r="F3746" s="1073"/>
      <c r="G3746" s="1074" t="s">
        <v>664</v>
      </c>
      <c r="H3746" s="1067">
        <f t="shared" ref="H3746" si="94">+H3639</f>
        <v>44181</v>
      </c>
      <c r="I3746" s="1059">
        <f t="shared" ref="I3746" si="95">+I3639</f>
        <v>450</v>
      </c>
      <c r="J3746" s="1068">
        <f t="shared" si="90"/>
        <v>44631</v>
      </c>
      <c r="K3746" s="1064">
        <f t="shared" ca="1" si="91"/>
        <v>260175.25</v>
      </c>
      <c r="L3746" s="1069">
        <f>+L3639</f>
        <v>5</v>
      </c>
      <c r="M3746" s="1069">
        <f ca="1">+K3746*L3746/100</f>
        <v>13008.762500000001</v>
      </c>
      <c r="N3746" s="1069">
        <f ca="1">+K3746+M3746</f>
        <v>273184.01250000001</v>
      </c>
      <c r="O3746" s="1070">
        <f ca="1">IF(+TODAY()&gt;=J3746,0,+M3746)</f>
        <v>13008.762500000001</v>
      </c>
      <c r="P3746" s="1071">
        <f ca="1">ROUND(O3746,0)</f>
        <v>13009</v>
      </c>
      <c r="Q3746" s="1058"/>
      <c r="R3746" s="1063"/>
    </row>
    <row r="3747" spans="1:18">
      <c r="A3747" s="1078"/>
      <c r="B3747" s="1063"/>
      <c r="C3747" s="1063"/>
      <c r="D3747" s="1063"/>
      <c r="E3747" s="1063"/>
      <c r="F3747" s="1063"/>
      <c r="G3747" s="1063"/>
      <c r="H3747" s="1063"/>
      <c r="I3747" s="1063"/>
      <c r="J3747" s="1063"/>
      <c r="K3747" s="1063"/>
      <c r="L3747" s="1063"/>
      <c r="M3747" s="1063"/>
      <c r="N3747" s="1063"/>
      <c r="O3747" s="1063"/>
      <c r="P3747" s="1063"/>
      <c r="Q3747" s="1063"/>
      <c r="R3747" s="1063"/>
    </row>
    <row r="3748" spans="1:18">
      <c r="A3748" s="1056"/>
      <c r="B3748" s="1055"/>
      <c r="C3748" s="1055"/>
      <c r="D3748" s="1055"/>
      <c r="E3748" s="1055"/>
      <c r="F3748" s="1055"/>
      <c r="G3748" s="1055"/>
      <c r="H3748" s="1055"/>
      <c r="I3748" s="1055"/>
      <c r="J3748" s="1055"/>
      <c r="K3748" s="1055"/>
      <c r="L3748" s="1055"/>
      <c r="M3748" s="1055"/>
      <c r="N3748" s="1055"/>
      <c r="O3748" s="1055"/>
      <c r="P3748" s="1055"/>
      <c r="Q3748" s="1055"/>
      <c r="R3748" s="1055"/>
    </row>
    <row r="3749" spans="1:18">
      <c r="A3749" s="1056"/>
      <c r="B3749" s="1055"/>
      <c r="C3749" s="1055"/>
      <c r="D3749" s="1055"/>
      <c r="E3749" s="1055"/>
      <c r="F3749" s="1055"/>
      <c r="G3749" s="1055"/>
      <c r="H3749" s="1055"/>
      <c r="I3749" s="1055"/>
      <c r="J3749" s="1055"/>
      <c r="K3749" s="1055"/>
      <c r="L3749" s="1055"/>
      <c r="M3749" s="1055"/>
      <c r="N3749" s="1055"/>
      <c r="O3749" s="1055"/>
      <c r="P3749" s="1055"/>
      <c r="Q3749" s="1055"/>
      <c r="R3749" s="1055"/>
    </row>
    <row r="3750" spans="1:18">
      <c r="A3750" s="1056"/>
      <c r="B3750" s="1055"/>
      <c r="C3750" s="1055"/>
      <c r="D3750" s="1055"/>
      <c r="E3750" s="1055"/>
      <c r="F3750" s="1055"/>
      <c r="G3750" s="1055"/>
      <c r="H3750" s="1055"/>
      <c r="I3750" s="1055"/>
      <c r="J3750" s="1055"/>
      <c r="K3750" s="1055"/>
      <c r="L3750" s="1055"/>
      <c r="M3750" s="1055"/>
      <c r="N3750" s="1055"/>
      <c r="O3750" s="1055"/>
      <c r="P3750" s="1055"/>
      <c r="Q3750" s="1055"/>
      <c r="R3750" s="1055"/>
    </row>
    <row r="3751" spans="1:18">
      <c r="A3751" s="1054"/>
      <c r="B3751" s="122"/>
      <c r="C3751" s="122"/>
      <c r="D3751" s="122"/>
      <c r="E3751" s="122"/>
      <c r="F3751" s="122"/>
      <c r="G3751" s="122"/>
      <c r="H3751" s="122"/>
      <c r="I3751" s="122"/>
      <c r="J3751" s="122"/>
      <c r="K3751" s="122"/>
      <c r="L3751" s="122"/>
      <c r="M3751" s="122"/>
      <c r="N3751" s="122"/>
      <c r="O3751" s="122"/>
      <c r="P3751" s="122"/>
      <c r="Q3751" s="122"/>
    </row>
    <row r="3752" spans="1:18">
      <c r="A3752" s="1054"/>
      <c r="B3752" s="122"/>
      <c r="C3752" s="122"/>
      <c r="D3752" s="122"/>
      <c r="E3752" s="122"/>
      <c r="F3752" s="122"/>
      <c r="G3752" s="122"/>
      <c r="H3752" s="122"/>
      <c r="I3752" s="122"/>
      <c r="J3752" s="122"/>
      <c r="K3752" s="122"/>
      <c r="L3752" s="122"/>
      <c r="M3752" s="122"/>
      <c r="N3752" s="122"/>
      <c r="O3752" s="122"/>
      <c r="P3752" s="122"/>
      <c r="Q3752" s="122"/>
    </row>
    <row r="3753" spans="1:18">
      <c r="A3753" s="1054"/>
      <c r="B3753" s="122"/>
      <c r="C3753" s="122"/>
      <c r="D3753" s="122"/>
      <c r="E3753" s="122"/>
      <c r="F3753" s="122"/>
      <c r="G3753" s="122"/>
      <c r="H3753" s="122"/>
      <c r="I3753" s="122"/>
      <c r="J3753" s="122"/>
      <c r="K3753" s="122"/>
      <c r="L3753" s="122"/>
      <c r="M3753" s="122"/>
      <c r="N3753" s="122"/>
      <c r="O3753" s="122"/>
      <c r="P3753" s="122"/>
      <c r="Q3753" s="122"/>
    </row>
    <row r="3754" spans="1:18">
      <c r="A3754" s="1054"/>
      <c r="B3754" s="122"/>
      <c r="C3754" s="122"/>
      <c r="D3754" s="122"/>
      <c r="E3754" s="122"/>
      <c r="F3754" s="122"/>
      <c r="G3754" s="122"/>
      <c r="H3754" s="122"/>
      <c r="I3754" s="122"/>
      <c r="J3754" s="122"/>
      <c r="K3754" s="122"/>
      <c r="L3754" s="122"/>
      <c r="M3754" s="122"/>
      <c r="N3754" s="122"/>
      <c r="O3754" s="122"/>
      <c r="P3754" s="122"/>
      <c r="Q3754" s="122"/>
    </row>
    <row r="3755" spans="1:18">
      <c r="A3755" s="1054"/>
      <c r="B3755" s="122"/>
      <c r="C3755" s="122"/>
      <c r="D3755" s="122"/>
      <c r="E3755" s="122"/>
      <c r="F3755" s="122"/>
      <c r="G3755" s="122"/>
      <c r="H3755" s="122"/>
      <c r="I3755" s="122"/>
      <c r="J3755" s="122"/>
      <c r="K3755" s="122"/>
      <c r="L3755" s="122"/>
      <c r="M3755" s="122"/>
      <c r="N3755" s="122"/>
      <c r="O3755" s="122"/>
      <c r="P3755" s="122"/>
      <c r="Q3755" s="122"/>
    </row>
    <row r="3756" spans="1:18">
      <c r="A3756" s="1054"/>
      <c r="B3756" s="122"/>
      <c r="C3756" s="122"/>
      <c r="D3756" s="122"/>
      <c r="E3756" s="122"/>
      <c r="F3756" s="122"/>
      <c r="G3756" s="122"/>
      <c r="H3756" s="122"/>
      <c r="I3756" s="122"/>
      <c r="J3756" s="122"/>
      <c r="K3756" s="122"/>
      <c r="L3756" s="122"/>
      <c r="M3756" s="122"/>
      <c r="N3756" s="122"/>
      <c r="O3756" s="122"/>
      <c r="P3756" s="122"/>
      <c r="Q3756" s="122"/>
    </row>
    <row r="3757" spans="1:18">
      <c r="A3757" s="1054"/>
      <c r="B3757" s="122"/>
      <c r="C3757" s="122"/>
      <c r="D3757" s="122"/>
      <c r="E3757" s="122"/>
      <c r="F3757" s="122"/>
      <c r="G3757" s="122"/>
      <c r="H3757" s="122"/>
      <c r="I3757" s="122"/>
      <c r="J3757" s="122"/>
      <c r="K3757" s="122"/>
      <c r="L3757" s="122"/>
      <c r="M3757" s="122"/>
      <c r="N3757" s="122"/>
      <c r="O3757" s="122"/>
      <c r="P3757" s="122"/>
      <c r="Q3757" s="122"/>
    </row>
    <row r="3758" spans="1:18">
      <c r="A3758" s="1054"/>
      <c r="B3758" s="122"/>
      <c r="C3758" s="122"/>
      <c r="D3758" s="122"/>
      <c r="E3758" s="122"/>
      <c r="F3758" s="122"/>
      <c r="G3758" s="122"/>
      <c r="H3758" s="122"/>
      <c r="I3758" s="122"/>
      <c r="J3758" s="122"/>
      <c r="K3758" s="122"/>
      <c r="L3758" s="122"/>
      <c r="M3758" s="122"/>
      <c r="N3758" s="122"/>
      <c r="O3758" s="122"/>
      <c r="P3758" s="122"/>
      <c r="Q3758" s="122"/>
    </row>
    <row r="3759" spans="1:18">
      <c r="A3759" s="1054"/>
      <c r="B3759" s="122"/>
      <c r="C3759" s="122"/>
      <c r="D3759" s="122"/>
      <c r="E3759" s="122"/>
      <c r="F3759" s="122"/>
      <c r="G3759" s="122"/>
      <c r="H3759" s="122"/>
      <c r="I3759" s="122"/>
      <c r="J3759" s="122"/>
      <c r="K3759" s="122"/>
      <c r="L3759" s="122"/>
      <c r="M3759" s="122"/>
      <c r="N3759" s="122"/>
      <c r="O3759" s="122"/>
      <c r="P3759" s="122"/>
      <c r="Q3759" s="122"/>
    </row>
    <row r="3760" spans="1:18">
      <c r="A3760" s="1054"/>
      <c r="B3760" s="122"/>
      <c r="C3760" s="122"/>
      <c r="D3760" s="122"/>
      <c r="E3760" s="122"/>
      <c r="F3760" s="122"/>
      <c r="G3760" s="122"/>
      <c r="H3760" s="122"/>
      <c r="I3760" s="122"/>
      <c r="J3760" s="122"/>
      <c r="K3760" s="122"/>
      <c r="L3760" s="122"/>
      <c r="M3760" s="122"/>
      <c r="N3760" s="122"/>
      <c r="O3760" s="122"/>
      <c r="P3760" s="122"/>
      <c r="Q3760" s="122"/>
    </row>
    <row r="3761" spans="1:17">
      <c r="A3761" s="1054"/>
      <c r="B3761" s="122"/>
      <c r="C3761" s="122"/>
      <c r="D3761" s="122"/>
      <c r="E3761" s="122"/>
      <c r="F3761" s="122"/>
      <c r="G3761" s="122"/>
      <c r="H3761" s="122"/>
      <c r="I3761" s="122"/>
      <c r="J3761" s="122"/>
      <c r="K3761" s="122"/>
      <c r="L3761" s="122"/>
      <c r="M3761" s="122"/>
      <c r="N3761" s="122"/>
      <c r="O3761" s="122"/>
      <c r="P3761" s="122"/>
      <c r="Q3761" s="122"/>
    </row>
    <row r="3762" spans="1:17">
      <c r="A3762" s="1054"/>
      <c r="B3762" s="122"/>
      <c r="C3762" s="122"/>
      <c r="D3762" s="122"/>
      <c r="E3762" s="122"/>
      <c r="F3762" s="122"/>
      <c r="G3762" s="122"/>
      <c r="H3762" s="122"/>
      <c r="I3762" s="122"/>
      <c r="J3762" s="122"/>
      <c r="K3762" s="122"/>
      <c r="L3762" s="122"/>
      <c r="M3762" s="122"/>
      <c r="N3762" s="122"/>
      <c r="O3762" s="122"/>
      <c r="P3762" s="122"/>
      <c r="Q3762" s="122"/>
    </row>
    <row r="3763" spans="1:17">
      <c r="A3763" s="1054"/>
      <c r="B3763" s="122"/>
      <c r="C3763" s="122"/>
      <c r="D3763" s="122"/>
      <c r="E3763" s="122"/>
      <c r="F3763" s="122"/>
      <c r="G3763" s="122"/>
      <c r="H3763" s="122"/>
      <c r="I3763" s="122"/>
      <c r="J3763" s="122"/>
      <c r="K3763" s="122"/>
      <c r="L3763" s="122"/>
      <c r="M3763" s="122"/>
      <c r="N3763" s="122"/>
      <c r="O3763" s="122"/>
      <c r="P3763" s="122"/>
      <c r="Q3763" s="122"/>
    </row>
    <row r="3764" spans="1:17">
      <c r="A3764" s="1054"/>
      <c r="B3764" s="122"/>
      <c r="C3764" s="122"/>
      <c r="D3764" s="122"/>
      <c r="E3764" s="122"/>
      <c r="F3764" s="122"/>
      <c r="G3764" s="122"/>
      <c r="H3764" s="122"/>
      <c r="I3764" s="122"/>
      <c r="J3764" s="122"/>
      <c r="K3764" s="122"/>
      <c r="L3764" s="122"/>
      <c r="M3764" s="122"/>
      <c r="N3764" s="122"/>
      <c r="O3764" s="122"/>
      <c r="P3764" s="122"/>
      <c r="Q3764" s="122"/>
    </row>
    <row r="3765" spans="1:17">
      <c r="A3765" s="1054"/>
      <c r="B3765" s="122"/>
      <c r="C3765" s="122"/>
      <c r="D3765" s="122"/>
      <c r="E3765" s="122"/>
      <c r="F3765" s="122"/>
      <c r="G3765" s="122"/>
      <c r="H3765" s="122"/>
      <c r="I3765" s="122"/>
      <c r="J3765" s="122"/>
      <c r="K3765" s="122"/>
      <c r="L3765" s="122"/>
      <c r="M3765" s="122"/>
      <c r="N3765" s="122"/>
      <c r="O3765" s="122"/>
      <c r="P3765" s="122"/>
      <c r="Q3765" s="122"/>
    </row>
    <row r="3766" spans="1:17">
      <c r="A3766" s="1054"/>
      <c r="B3766" s="122"/>
      <c r="C3766" s="122"/>
      <c r="D3766" s="122"/>
      <c r="E3766" s="122"/>
      <c r="F3766" s="122"/>
      <c r="G3766" s="122"/>
      <c r="H3766" s="122"/>
      <c r="I3766" s="122"/>
      <c r="J3766" s="122"/>
      <c r="K3766" s="122"/>
      <c r="L3766" s="122"/>
      <c r="M3766" s="122"/>
      <c r="N3766" s="122"/>
      <c r="O3766" s="122"/>
      <c r="P3766" s="122"/>
      <c r="Q3766" s="122"/>
    </row>
    <row r="3767" spans="1:17">
      <c r="A3767" s="1054"/>
      <c r="B3767" s="122"/>
      <c r="C3767" s="122"/>
      <c r="D3767" s="122"/>
      <c r="E3767" s="122"/>
      <c r="F3767" s="122"/>
      <c r="G3767" s="122"/>
      <c r="H3767" s="122"/>
      <c r="I3767" s="122"/>
      <c r="J3767" s="122"/>
      <c r="K3767" s="122"/>
      <c r="L3767" s="122"/>
      <c r="M3767" s="122"/>
      <c r="N3767" s="122"/>
      <c r="O3767" s="122"/>
      <c r="P3767" s="122"/>
      <c r="Q3767" s="122"/>
    </row>
    <row r="3768" spans="1:17">
      <c r="A3768" s="1054"/>
      <c r="B3768" s="122"/>
      <c r="C3768" s="122"/>
      <c r="D3768" s="122"/>
      <c r="E3768" s="122"/>
      <c r="F3768" s="122"/>
      <c r="G3768" s="122"/>
      <c r="H3768" s="122"/>
      <c r="I3768" s="122"/>
      <c r="J3768" s="122"/>
      <c r="K3768" s="122"/>
      <c r="L3768" s="122"/>
      <c r="M3768" s="122"/>
      <c r="N3768" s="122"/>
      <c r="O3768" s="122"/>
      <c r="P3768" s="122"/>
      <c r="Q3768" s="122"/>
    </row>
    <row r="3769" spans="1:17">
      <c r="A3769" s="1054"/>
      <c r="B3769" s="122"/>
      <c r="C3769" s="122"/>
      <c r="D3769" s="122"/>
      <c r="E3769" s="122"/>
      <c r="F3769" s="122"/>
      <c r="G3769" s="122"/>
      <c r="H3769" s="122"/>
      <c r="I3769" s="122"/>
      <c r="J3769" s="122"/>
      <c r="K3769" s="122"/>
      <c r="L3769" s="122"/>
      <c r="M3769" s="122"/>
      <c r="N3769" s="122"/>
      <c r="O3769" s="122"/>
      <c r="P3769" s="122"/>
      <c r="Q3769" s="122"/>
    </row>
    <row r="3770" spans="1:17">
      <c r="A3770" s="1054"/>
      <c r="B3770" s="122"/>
      <c r="C3770" s="122"/>
      <c r="D3770" s="122"/>
      <c r="E3770" s="122"/>
      <c r="F3770" s="122"/>
      <c r="G3770" s="122"/>
      <c r="H3770" s="122"/>
      <c r="I3770" s="122"/>
      <c r="J3770" s="122"/>
      <c r="K3770" s="122"/>
      <c r="L3770" s="122"/>
      <c r="M3770" s="122"/>
      <c r="N3770" s="122"/>
      <c r="O3770" s="122"/>
      <c r="P3770" s="122"/>
      <c r="Q3770" s="122"/>
    </row>
    <row r="3771" spans="1:17">
      <c r="A3771" s="1054"/>
      <c r="B3771" s="122"/>
      <c r="C3771" s="122"/>
      <c r="D3771" s="122"/>
      <c r="E3771" s="122"/>
      <c r="F3771" s="122"/>
      <c r="G3771" s="122"/>
      <c r="H3771" s="122"/>
      <c r="I3771" s="122"/>
      <c r="J3771" s="122"/>
      <c r="K3771" s="122"/>
      <c r="L3771" s="122"/>
      <c r="M3771" s="122"/>
      <c r="N3771" s="122"/>
      <c r="O3771" s="122"/>
      <c r="P3771" s="122"/>
      <c r="Q3771" s="122"/>
    </row>
    <row r="3772" spans="1:17">
      <c r="A3772" s="1054"/>
      <c r="B3772" s="122"/>
      <c r="C3772" s="122"/>
      <c r="D3772" s="122"/>
      <c r="E3772" s="122"/>
      <c r="F3772" s="122"/>
      <c r="G3772" s="122"/>
      <c r="H3772" s="122"/>
      <c r="I3772" s="122"/>
      <c r="J3772" s="122"/>
      <c r="K3772" s="122"/>
      <c r="L3772" s="122"/>
      <c r="M3772" s="122"/>
      <c r="N3772" s="122"/>
      <c r="O3772" s="122"/>
      <c r="P3772" s="122"/>
      <c r="Q3772" s="122"/>
    </row>
    <row r="3773" spans="1:17">
      <c r="A3773" s="1054"/>
      <c r="B3773" s="122"/>
      <c r="C3773" s="122"/>
      <c r="D3773" s="122"/>
      <c r="E3773" s="122"/>
      <c r="F3773" s="122"/>
      <c r="G3773" s="122"/>
      <c r="H3773" s="122"/>
      <c r="I3773" s="122"/>
      <c r="J3773" s="122"/>
      <c r="K3773" s="122"/>
      <c r="L3773" s="122"/>
      <c r="M3773" s="122"/>
      <c r="N3773" s="122"/>
      <c r="O3773" s="122"/>
      <c r="P3773" s="122"/>
      <c r="Q3773" s="122"/>
    </row>
    <row r="3774" spans="1:17">
      <c r="A3774" s="1054"/>
      <c r="B3774" s="122"/>
      <c r="C3774" s="122"/>
      <c r="D3774" s="122"/>
      <c r="E3774" s="122"/>
      <c r="F3774" s="122"/>
      <c r="G3774" s="122"/>
      <c r="H3774" s="122"/>
      <c r="I3774" s="122"/>
      <c r="J3774" s="122"/>
      <c r="K3774" s="122"/>
      <c r="L3774" s="122"/>
      <c r="M3774" s="122"/>
      <c r="N3774" s="122"/>
      <c r="O3774" s="122"/>
      <c r="P3774" s="122"/>
      <c r="Q3774" s="122"/>
    </row>
    <row r="3775" spans="1:17">
      <c r="A3775" s="1054"/>
      <c r="B3775" s="122"/>
      <c r="C3775" s="122"/>
      <c r="D3775" s="122"/>
      <c r="E3775" s="122"/>
      <c r="F3775" s="122"/>
      <c r="G3775" s="122"/>
      <c r="H3775" s="122"/>
      <c r="I3775" s="122"/>
      <c r="J3775" s="122"/>
      <c r="K3775" s="122"/>
      <c r="L3775" s="122"/>
      <c r="M3775" s="122"/>
      <c r="N3775" s="122"/>
      <c r="O3775" s="122"/>
      <c r="P3775" s="122"/>
      <c r="Q3775" s="122"/>
    </row>
    <row r="3776" spans="1:17">
      <c r="A3776" s="1054"/>
      <c r="B3776" s="122"/>
      <c r="C3776" s="122"/>
      <c r="D3776" s="122"/>
      <c r="E3776" s="122"/>
      <c r="F3776" s="122"/>
      <c r="G3776" s="122"/>
      <c r="H3776" s="122"/>
      <c r="I3776" s="122"/>
      <c r="J3776" s="122"/>
      <c r="K3776" s="122"/>
      <c r="L3776" s="122"/>
      <c r="M3776" s="122"/>
      <c r="N3776" s="122"/>
      <c r="O3776" s="122"/>
      <c r="P3776" s="122"/>
      <c r="Q3776" s="122"/>
    </row>
    <row r="3777" spans="1:17">
      <c r="A3777" s="1054"/>
      <c r="B3777" s="122"/>
      <c r="C3777" s="122"/>
      <c r="D3777" s="122"/>
      <c r="E3777" s="122"/>
      <c r="F3777" s="122"/>
      <c r="G3777" s="122"/>
      <c r="H3777" s="122"/>
      <c r="I3777" s="122"/>
      <c r="J3777" s="122"/>
      <c r="K3777" s="122"/>
      <c r="L3777" s="122"/>
      <c r="M3777" s="122"/>
      <c r="N3777" s="122"/>
      <c r="O3777" s="122"/>
      <c r="P3777" s="122"/>
      <c r="Q3777" s="122"/>
    </row>
    <row r="3778" spans="1:17">
      <c r="A3778" s="1054"/>
      <c r="B3778" s="122"/>
      <c r="C3778" s="122"/>
      <c r="D3778" s="122"/>
      <c r="E3778" s="122"/>
      <c r="F3778" s="122"/>
      <c r="G3778" s="122"/>
      <c r="H3778" s="122"/>
      <c r="I3778" s="122"/>
      <c r="J3778" s="122"/>
      <c r="K3778" s="122"/>
      <c r="L3778" s="122"/>
      <c r="M3778" s="122"/>
      <c r="N3778" s="122"/>
      <c r="O3778" s="122"/>
      <c r="P3778" s="122"/>
      <c r="Q3778" s="122"/>
    </row>
  </sheetData>
  <mergeCells count="131">
    <mergeCell ref="B426:E426"/>
    <mergeCell ref="B427:E427"/>
    <mergeCell ref="B428:E428"/>
    <mergeCell ref="B378:G378"/>
    <mergeCell ref="B379:G379"/>
    <mergeCell ref="B380:F380"/>
    <mergeCell ref="B381:G381"/>
    <mergeCell ref="B382:G382"/>
    <mergeCell ref="B383:G383"/>
    <mergeCell ref="B385:G385"/>
    <mergeCell ref="B386:G386"/>
    <mergeCell ref="B387:G387"/>
    <mergeCell ref="B388:G388"/>
    <mergeCell ref="B389:G389"/>
    <mergeCell ref="B425:E425"/>
    <mergeCell ref="B423:E423"/>
    <mergeCell ref="B424:E424"/>
    <mergeCell ref="G97:L98"/>
    <mergeCell ref="A114:L114"/>
    <mergeCell ref="A106:L106"/>
    <mergeCell ref="B418:K418"/>
    <mergeCell ref="B392:L392"/>
    <mergeCell ref="B422:E422"/>
    <mergeCell ref="C239:K239"/>
    <mergeCell ref="B420:E420"/>
    <mergeCell ref="B393:E393"/>
    <mergeCell ref="B394:E394"/>
    <mergeCell ref="B395:E395"/>
    <mergeCell ref="B396:E396"/>
    <mergeCell ref="H241:I241"/>
    <mergeCell ref="B390:G390"/>
    <mergeCell ref="B421:E421"/>
    <mergeCell ref="B419:E419"/>
    <mergeCell ref="B384:G384"/>
    <mergeCell ref="A296:D297"/>
    <mergeCell ref="B137:F138"/>
    <mergeCell ref="A148:F148"/>
    <mergeCell ref="A130:E130"/>
    <mergeCell ref="A122:L122"/>
    <mergeCell ref="J131:K131"/>
    <mergeCell ref="B4:L4"/>
    <mergeCell ref="B5:L6"/>
    <mergeCell ref="A293:L293"/>
    <mergeCell ref="A351:K351"/>
    <mergeCell ref="B377:K377"/>
    <mergeCell ref="A151:L151"/>
    <mergeCell ref="A167:A170"/>
    <mergeCell ref="B7:L7"/>
    <mergeCell ref="B8:L16"/>
    <mergeCell ref="B17:L22"/>
    <mergeCell ref="B23:L29"/>
    <mergeCell ref="D71:G71"/>
    <mergeCell ref="A153:G153"/>
    <mergeCell ref="A152:G152"/>
    <mergeCell ref="A155:E155"/>
    <mergeCell ref="C246:C251"/>
    <mergeCell ref="G80:L80"/>
    <mergeCell ref="G81:L81"/>
    <mergeCell ref="G87:L87"/>
    <mergeCell ref="G94:L96"/>
    <mergeCell ref="G88:L89"/>
    <mergeCell ref="G92:L92"/>
    <mergeCell ref="A85:K85"/>
    <mergeCell ref="B88:F89"/>
    <mergeCell ref="G86:L86"/>
    <mergeCell ref="G90:L90"/>
    <mergeCell ref="D50:L50"/>
    <mergeCell ref="D43:K43"/>
    <mergeCell ref="G79:L79"/>
    <mergeCell ref="I71:L71"/>
    <mergeCell ref="A44:L44"/>
    <mergeCell ref="D52:L52"/>
    <mergeCell ref="A45:C45"/>
    <mergeCell ref="G68:L68"/>
    <mergeCell ref="D45:K46"/>
    <mergeCell ref="D49:K49"/>
    <mergeCell ref="D69:F70"/>
    <mergeCell ref="D78:L78"/>
    <mergeCell ref="G69:L70"/>
    <mergeCell ref="G58:L58"/>
    <mergeCell ref="G60:L61"/>
    <mergeCell ref="G66:H66"/>
    <mergeCell ref="G65:H65"/>
    <mergeCell ref="G63:H63"/>
    <mergeCell ref="G62:H62"/>
    <mergeCell ref="G59:H59"/>
    <mergeCell ref="G64:H64"/>
    <mergeCell ref="G82:L82"/>
    <mergeCell ref="A124:E124"/>
    <mergeCell ref="A123:E123"/>
    <mergeCell ref="A125:E125"/>
    <mergeCell ref="A126:E126"/>
    <mergeCell ref="A127:E127"/>
    <mergeCell ref="A128:E128"/>
    <mergeCell ref="A129:E129"/>
    <mergeCell ref="A104:E104"/>
    <mergeCell ref="A99:E99"/>
    <mergeCell ref="A101:E101"/>
    <mergeCell ref="A102:E102"/>
    <mergeCell ref="A103:E103"/>
    <mergeCell ref="F104:G104"/>
    <mergeCell ref="F103:G103"/>
    <mergeCell ref="F100:G100"/>
    <mergeCell ref="A100:E100"/>
    <mergeCell ref="F99:L99"/>
    <mergeCell ref="K100:L100"/>
    <mergeCell ref="K101:L101"/>
    <mergeCell ref="K102:L102"/>
    <mergeCell ref="K103:L103"/>
    <mergeCell ref="K104:L104"/>
    <mergeCell ref="C95:F95"/>
    <mergeCell ref="A227:L227"/>
    <mergeCell ref="H104:J104"/>
    <mergeCell ref="F102:G102"/>
    <mergeCell ref="F101:G101"/>
    <mergeCell ref="H101:J101"/>
    <mergeCell ref="H102:J102"/>
    <mergeCell ref="H103:J103"/>
    <mergeCell ref="H100:J100"/>
    <mergeCell ref="A131:D131"/>
    <mergeCell ref="A135:L135"/>
    <mergeCell ref="I236:J236"/>
    <mergeCell ref="B228:I228"/>
    <mergeCell ref="B229:I229"/>
    <mergeCell ref="B230:I230"/>
    <mergeCell ref="B231:I231"/>
    <mergeCell ref="B232:I232"/>
    <mergeCell ref="B233:I233"/>
    <mergeCell ref="B234:I234"/>
    <mergeCell ref="B235:I235"/>
    <mergeCell ref="B236:H236"/>
  </mergeCells>
  <hyperlinks>
    <hyperlink ref="H149" r:id="rId1" display="=@ROUND(SUM(H822:H827),-3)"/>
    <hyperlink ref="I119" r:id="rId2" display="=@round(100-I417-I415,-2)"/>
    <hyperlink ref="I149:L149" r:id="rId3" display="=@ROUND(SUM(H822:H827),-3)"/>
  </hyperlinks>
  <pageMargins left="0.82677165354330717" right="0" top="0.74803149606299213" bottom="0.35433070866141736" header="0.31496062992125984" footer="0.31496062992125984"/>
  <pageSetup paperSize="9" scale="81" orientation="portrait" verticalDpi="0" r:id="rId4"/>
  <rowBreaks count="8" manualBreakCount="8">
    <brk id="41" max="16383" man="1"/>
    <brk id="83" max="11" man="1"/>
    <brk id="132" max="11" man="1"/>
    <brk id="184" max="11" man="1"/>
    <brk id="237" max="11" man="1"/>
    <brk id="290" max="11" man="1"/>
    <brk id="328" max="11" man="1"/>
    <brk id="375"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Feeding</vt:lpstr>
      <vt:lpstr>Report</vt:lpstr>
      <vt:lpstr>'Data Feeding'!Print_Area</vt:lpstr>
      <vt:lpstr>Report!Print_Area</vt:lpstr>
    </vt:vector>
  </TitlesOfParts>
  <Company>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Shiva Prasad</dc:creator>
  <cp:lastModifiedBy>Administrator</cp:lastModifiedBy>
  <cp:lastPrinted>2020-12-21T01:18:26Z</cp:lastPrinted>
  <dcterms:created xsi:type="dcterms:W3CDTF">2005-08-17T03:11:41Z</dcterms:created>
  <dcterms:modified xsi:type="dcterms:W3CDTF">2020-12-21T01:46:02Z</dcterms:modified>
</cp:coreProperties>
</file>